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mkm.ee/dhs/webdav/889fa23690d02ae65b5aa5e30af8df22300f6167/47404015227/deed3b09-0f02-4884-b23a-12504ce1fddc/"/>
    </mc:Choice>
  </mc:AlternateContent>
  <xr:revisionPtr revIDLastSave="0" documentId="13_ncr:1_{872E2096-5426-4608-8136-B25AA04176AA}" xr6:coauthVersionLast="47" xr6:coauthVersionMax="47" xr10:uidLastSave="{00000000-0000-0000-0000-000000000000}"/>
  <bookViews>
    <workbookView xWindow="-110" yWindow="-110" windowWidth="19420" windowHeight="11500" xr2:uid="{911BB1A6-BF45-4C80-B217-662861EE6E42}"/>
  </bookViews>
  <sheets>
    <sheet name="Lisa 7 MKM_toetused" sheetId="1" r:id="rId1"/>
  </sheets>
  <definedNames>
    <definedName name="_xlnm._FilterDatabase" localSheetId="0" hidden="1">'Lisa 7 MKM_toetused'!$A$16:$M$90</definedName>
    <definedName name="_xlnm.Print_Area" localSheetId="0">'Lisa 7 MKM_toetused'!$A$1:$M$81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U43" i="1"/>
  <c r="V43" i="1"/>
  <c r="S43" i="1"/>
  <c r="V42" i="1"/>
  <c r="S42" i="1"/>
  <c r="T90" i="1"/>
  <c r="U90" i="1"/>
  <c r="T87" i="1"/>
  <c r="U87" i="1"/>
  <c r="T85" i="1"/>
  <c r="U85" i="1"/>
  <c r="T81" i="1"/>
  <c r="U81" i="1"/>
  <c r="T79" i="1"/>
  <c r="U79" i="1"/>
  <c r="T77" i="1"/>
  <c r="U77" i="1"/>
  <c r="T75" i="1"/>
  <c r="U75" i="1"/>
  <c r="T67" i="1"/>
  <c r="U67" i="1"/>
  <c r="T54" i="1"/>
  <c r="U54" i="1"/>
  <c r="T49" i="1"/>
  <c r="U49" i="1"/>
  <c r="T47" i="1"/>
  <c r="U47" i="1"/>
  <c r="T45" i="1"/>
  <c r="U45" i="1"/>
  <c r="T39" i="1"/>
  <c r="U39" i="1"/>
  <c r="T37" i="1"/>
  <c r="U37" i="1"/>
  <c r="T33" i="1"/>
  <c r="U33" i="1"/>
  <c r="T31" i="1"/>
  <c r="U31" i="1"/>
  <c r="T29" i="1"/>
  <c r="U29" i="1"/>
  <c r="T27" i="1"/>
  <c r="U27" i="1"/>
  <c r="T24" i="1"/>
  <c r="U24" i="1"/>
  <c r="T19" i="1"/>
  <c r="U19" i="1"/>
  <c r="T7" i="1"/>
  <c r="T8" i="1"/>
  <c r="T9" i="1"/>
  <c r="T10" i="1"/>
  <c r="T11" i="1"/>
  <c r="U7" i="1"/>
  <c r="U8" i="1"/>
  <c r="U9" i="1"/>
  <c r="U10" i="1"/>
  <c r="U11" i="1"/>
  <c r="P51" i="1"/>
  <c r="R51" i="1"/>
  <c r="T16" i="1" l="1"/>
  <c r="U16" i="1"/>
  <c r="T12" i="1"/>
  <c r="U12" i="1"/>
  <c r="S26" i="1"/>
  <c r="V26" i="1" s="1"/>
  <c r="S25" i="1"/>
  <c r="V25" i="1" s="1"/>
  <c r="N27" i="1"/>
  <c r="O27" i="1"/>
  <c r="P27" i="1"/>
  <c r="Q27" i="1"/>
  <c r="R27" i="1"/>
  <c r="M27" i="1"/>
  <c r="N43" i="1"/>
  <c r="O43" i="1"/>
  <c r="Q43" i="1"/>
  <c r="R43" i="1"/>
  <c r="N37" i="1"/>
  <c r="O37" i="1"/>
  <c r="Q37" i="1"/>
  <c r="R37" i="1"/>
  <c r="S28" i="1"/>
  <c r="N29" i="1"/>
  <c r="O29" i="1"/>
  <c r="P29" i="1"/>
  <c r="Q29" i="1"/>
  <c r="R29" i="1"/>
  <c r="M29" i="1"/>
  <c r="M41" i="1"/>
  <c r="S41" i="1" s="1"/>
  <c r="V41" i="1" s="1"/>
  <c r="V27" i="1" l="1"/>
  <c r="S29" i="1"/>
  <c r="V28" i="1"/>
  <c r="V29" i="1" s="1"/>
  <c r="S27" i="1"/>
  <c r="Q65" i="1"/>
  <c r="P59" i="1"/>
  <c r="P55" i="1"/>
  <c r="P40" i="1" l="1"/>
  <c r="P43" i="1" s="1"/>
  <c r="P35" i="1" l="1"/>
  <c r="P37" i="1" s="1"/>
  <c r="S48" i="1" l="1"/>
  <c r="N49" i="1"/>
  <c r="O49" i="1"/>
  <c r="P49" i="1"/>
  <c r="Q49" i="1"/>
  <c r="R49" i="1"/>
  <c r="M49" i="1"/>
  <c r="S49" i="1" l="1"/>
  <c r="V48" i="1"/>
  <c r="V49" i="1" s="1"/>
  <c r="N24" i="1"/>
  <c r="O24" i="1"/>
  <c r="P24" i="1"/>
  <c r="Q24" i="1"/>
  <c r="R24" i="1"/>
  <c r="M22" i="1"/>
  <c r="S22" i="1" s="1"/>
  <c r="V22" i="1" s="1"/>
  <c r="O85" i="1" l="1"/>
  <c r="P85" i="1"/>
  <c r="Q85" i="1"/>
  <c r="R85" i="1"/>
  <c r="N85" i="1"/>
  <c r="M82" i="1"/>
  <c r="S82" i="1" s="1"/>
  <c r="V82" i="1" s="1"/>
  <c r="M83" i="1"/>
  <c r="S83" i="1" s="1"/>
  <c r="V83" i="1" s="1"/>
  <c r="M84" i="1"/>
  <c r="S84" i="1" s="1"/>
  <c r="V84" i="1" s="1"/>
  <c r="V85" i="1" l="1"/>
  <c r="M85" i="1"/>
  <c r="S85" i="1"/>
  <c r="M23" i="1"/>
  <c r="S23" i="1" s="1"/>
  <c r="V23" i="1" s="1"/>
  <c r="N90" i="1"/>
  <c r="O90" i="1"/>
  <c r="P90" i="1"/>
  <c r="Q90" i="1"/>
  <c r="R90" i="1"/>
  <c r="N87" i="1"/>
  <c r="O87" i="1"/>
  <c r="P87" i="1"/>
  <c r="Q87" i="1"/>
  <c r="R87" i="1"/>
  <c r="N81" i="1"/>
  <c r="O81" i="1"/>
  <c r="P81" i="1"/>
  <c r="Q81" i="1"/>
  <c r="R81" i="1"/>
  <c r="N79" i="1"/>
  <c r="O79" i="1"/>
  <c r="P79" i="1"/>
  <c r="Q79" i="1"/>
  <c r="R79" i="1"/>
  <c r="N77" i="1"/>
  <c r="O77" i="1"/>
  <c r="P77" i="1"/>
  <c r="Q77" i="1"/>
  <c r="R77" i="1"/>
  <c r="N75" i="1"/>
  <c r="O75" i="1"/>
  <c r="P75" i="1"/>
  <c r="Q75" i="1"/>
  <c r="R75" i="1"/>
  <c r="N67" i="1"/>
  <c r="O67" i="1"/>
  <c r="P67" i="1"/>
  <c r="Q67" i="1"/>
  <c r="R67" i="1"/>
  <c r="N54" i="1"/>
  <c r="O54" i="1"/>
  <c r="P54" i="1"/>
  <c r="Q54" i="1"/>
  <c r="R54" i="1"/>
  <c r="N47" i="1"/>
  <c r="O47" i="1"/>
  <c r="P47" i="1"/>
  <c r="Q47" i="1"/>
  <c r="R47" i="1"/>
  <c r="N45" i="1"/>
  <c r="O45" i="1"/>
  <c r="P45" i="1"/>
  <c r="Q45" i="1"/>
  <c r="R45" i="1"/>
  <c r="N39" i="1"/>
  <c r="O39" i="1"/>
  <c r="P39" i="1"/>
  <c r="Q39" i="1"/>
  <c r="R39" i="1"/>
  <c r="N33" i="1"/>
  <c r="O33" i="1"/>
  <c r="P33" i="1"/>
  <c r="Q33" i="1"/>
  <c r="R33" i="1"/>
  <c r="N31" i="1"/>
  <c r="O31" i="1"/>
  <c r="P31" i="1"/>
  <c r="Q31" i="1"/>
  <c r="R31" i="1"/>
  <c r="N19" i="1"/>
  <c r="O19" i="1"/>
  <c r="P19" i="1"/>
  <c r="Q19" i="1"/>
  <c r="R19" i="1"/>
  <c r="O16" i="1" l="1"/>
  <c r="N16" i="1"/>
  <c r="Q16" i="1"/>
  <c r="P16" i="1"/>
  <c r="R16" i="1"/>
  <c r="N7" i="1" l="1"/>
  <c r="N8" i="1"/>
  <c r="N9" i="1"/>
  <c r="N10" i="1"/>
  <c r="N11" i="1"/>
  <c r="L90" i="1"/>
  <c r="L87" i="1"/>
  <c r="L81" i="1"/>
  <c r="L79" i="1"/>
  <c r="L77" i="1"/>
  <c r="L47" i="1"/>
  <c r="L45" i="1"/>
  <c r="L43" i="1"/>
  <c r="L39" i="1"/>
  <c r="L37" i="1"/>
  <c r="L33" i="1"/>
  <c r="L31" i="1"/>
  <c r="M21" i="1"/>
  <c r="S21" i="1" s="1"/>
  <c r="V21" i="1" s="1"/>
  <c r="M30" i="1"/>
  <c r="S30" i="1" s="1"/>
  <c r="M32" i="1"/>
  <c r="S32" i="1" s="1"/>
  <c r="M34" i="1"/>
  <c r="S34" i="1" s="1"/>
  <c r="V34" i="1" s="1"/>
  <c r="M35" i="1"/>
  <c r="S35" i="1" s="1"/>
  <c r="V35" i="1" s="1"/>
  <c r="M36" i="1"/>
  <c r="S36" i="1" s="1"/>
  <c r="V36" i="1" s="1"/>
  <c r="M38" i="1"/>
  <c r="S38" i="1" s="1"/>
  <c r="M40" i="1"/>
  <c r="M44" i="1"/>
  <c r="S44" i="1" s="1"/>
  <c r="M46" i="1"/>
  <c r="S46" i="1" s="1"/>
  <c r="M50" i="1"/>
  <c r="S50" i="1" s="1"/>
  <c r="V50" i="1" s="1"/>
  <c r="M52" i="1"/>
  <c r="S52" i="1" s="1"/>
  <c r="V52" i="1" s="1"/>
  <c r="M53" i="1"/>
  <c r="S53" i="1" s="1"/>
  <c r="V53" i="1" s="1"/>
  <c r="M56" i="1"/>
  <c r="S56" i="1" s="1"/>
  <c r="V56" i="1" s="1"/>
  <c r="M57" i="1"/>
  <c r="S57" i="1" s="1"/>
  <c r="V57" i="1" s="1"/>
  <c r="M58" i="1"/>
  <c r="S58" i="1" s="1"/>
  <c r="V58" i="1" s="1"/>
  <c r="M61" i="1"/>
  <c r="S61" i="1" s="1"/>
  <c r="V61" i="1" s="1"/>
  <c r="M62" i="1"/>
  <c r="S62" i="1" s="1"/>
  <c r="V62" i="1" s="1"/>
  <c r="M63" i="1"/>
  <c r="S63" i="1" s="1"/>
  <c r="V63" i="1" s="1"/>
  <c r="M64" i="1"/>
  <c r="S64" i="1" s="1"/>
  <c r="V64" i="1" s="1"/>
  <c r="M66" i="1"/>
  <c r="S66" i="1" s="1"/>
  <c r="V66" i="1" s="1"/>
  <c r="M68" i="1"/>
  <c r="S68" i="1" s="1"/>
  <c r="V68" i="1" s="1"/>
  <c r="M69" i="1"/>
  <c r="S69" i="1" s="1"/>
  <c r="V69" i="1" s="1"/>
  <c r="M71" i="1"/>
  <c r="S71" i="1" s="1"/>
  <c r="V71" i="1" s="1"/>
  <c r="M72" i="1"/>
  <c r="S72" i="1" s="1"/>
  <c r="V72" i="1" s="1"/>
  <c r="M73" i="1"/>
  <c r="S73" i="1" s="1"/>
  <c r="V73" i="1" s="1"/>
  <c r="M74" i="1"/>
  <c r="S74" i="1" s="1"/>
  <c r="V74" i="1" s="1"/>
  <c r="M76" i="1"/>
  <c r="S76" i="1" s="1"/>
  <c r="M78" i="1"/>
  <c r="S78" i="1" s="1"/>
  <c r="M80" i="1"/>
  <c r="S80" i="1" s="1"/>
  <c r="M86" i="1"/>
  <c r="S86" i="1" s="1"/>
  <c r="M88" i="1"/>
  <c r="S88" i="1" s="1"/>
  <c r="V88" i="1" s="1"/>
  <c r="M89" i="1"/>
  <c r="S89" i="1" s="1"/>
  <c r="V89" i="1" s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V37" i="1" l="1"/>
  <c r="V11" i="1"/>
  <c r="V90" i="1"/>
  <c r="S77" i="1"/>
  <c r="V76" i="1"/>
  <c r="V77" i="1" s="1"/>
  <c r="S79" i="1"/>
  <c r="V78" i="1"/>
  <c r="V79" i="1" s="1"/>
  <c r="S33" i="1"/>
  <c r="V32" i="1"/>
  <c r="V33" i="1" s="1"/>
  <c r="S31" i="1"/>
  <c r="V30" i="1"/>
  <c r="V31" i="1" s="1"/>
  <c r="S81" i="1"/>
  <c r="V80" i="1"/>
  <c r="V81" i="1" s="1"/>
  <c r="S87" i="1"/>
  <c r="V86" i="1"/>
  <c r="S39" i="1"/>
  <c r="V38" i="1"/>
  <c r="V39" i="1" s="1"/>
  <c r="S47" i="1"/>
  <c r="V46" i="1"/>
  <c r="V47" i="1" s="1"/>
  <c r="S45" i="1"/>
  <c r="V44" i="1"/>
  <c r="V45" i="1" s="1"/>
  <c r="M47" i="1"/>
  <c r="S11" i="1"/>
  <c r="S40" i="1"/>
  <c r="M43" i="1"/>
  <c r="S37" i="1"/>
  <c r="S10" i="1"/>
  <c r="M81" i="1"/>
  <c r="M31" i="1"/>
  <c r="M33" i="1"/>
  <c r="M87" i="1"/>
  <c r="M37" i="1"/>
  <c r="M90" i="1"/>
  <c r="S90" i="1"/>
  <c r="M39" i="1"/>
  <c r="M77" i="1"/>
  <c r="M45" i="1"/>
  <c r="M79" i="1"/>
  <c r="O12" i="1"/>
  <c r="N12" i="1"/>
  <c r="Q12" i="1"/>
  <c r="R12" i="1"/>
  <c r="P12" i="1"/>
  <c r="V10" i="1" l="1"/>
  <c r="V87" i="1"/>
  <c r="V40" i="1"/>
  <c r="L70" i="1"/>
  <c r="L75" i="1" l="1"/>
  <c r="M70" i="1"/>
  <c r="L51" i="1"/>
  <c r="L54" i="1" s="1"/>
  <c r="K47" i="1"/>
  <c r="S70" i="1" l="1"/>
  <c r="M75" i="1"/>
  <c r="L18" i="1"/>
  <c r="M18" i="1" s="1"/>
  <c r="S18" i="1" s="1"/>
  <c r="V18" i="1" s="1"/>
  <c r="L55" i="1"/>
  <c r="L67" i="1" s="1"/>
  <c r="S75" i="1" l="1"/>
  <c r="V70" i="1"/>
  <c r="V75" i="1" s="1"/>
  <c r="K33" i="1"/>
  <c r="L20" i="1" l="1"/>
  <c r="K75" i="1"/>
  <c r="M20" i="1" l="1"/>
  <c r="L24" i="1"/>
  <c r="L10" i="1"/>
  <c r="K10" i="1"/>
  <c r="L9" i="1"/>
  <c r="L8" i="1"/>
  <c r="L7" i="1"/>
  <c r="K7" i="1"/>
  <c r="L11" i="1"/>
  <c r="K11" i="1"/>
  <c r="K90" i="1"/>
  <c r="M24" i="1" l="1"/>
  <c r="S20" i="1"/>
  <c r="L12" i="1"/>
  <c r="S24" i="1" l="1"/>
  <c r="V20" i="1"/>
  <c r="S7" i="1"/>
  <c r="M11" i="1"/>
  <c r="K65" i="1"/>
  <c r="M65" i="1" s="1"/>
  <c r="S65" i="1" s="1"/>
  <c r="V65" i="1" s="1"/>
  <c r="K59" i="1"/>
  <c r="M59" i="1" s="1"/>
  <c r="S59" i="1" s="1"/>
  <c r="V59" i="1" s="1"/>
  <c r="K60" i="1"/>
  <c r="M60" i="1" s="1"/>
  <c r="S60" i="1" s="1"/>
  <c r="V60" i="1" s="1"/>
  <c r="K55" i="1"/>
  <c r="M55" i="1" s="1"/>
  <c r="S55" i="1" s="1"/>
  <c r="V55" i="1" s="1"/>
  <c r="V67" i="1" s="1"/>
  <c r="K51" i="1"/>
  <c r="M51" i="1" s="1"/>
  <c r="K17" i="1"/>
  <c r="K87" i="1"/>
  <c r="V7" i="1" l="1"/>
  <c r="V24" i="1"/>
  <c r="S67" i="1"/>
  <c r="M67" i="1"/>
  <c r="S51" i="1"/>
  <c r="V51" i="1" s="1"/>
  <c r="M54" i="1"/>
  <c r="K9" i="1"/>
  <c r="M17" i="1"/>
  <c r="M10" i="1"/>
  <c r="K8" i="1"/>
  <c r="K54" i="1"/>
  <c r="K67" i="1"/>
  <c r="V8" i="1" l="1"/>
  <c r="V54" i="1"/>
  <c r="K12" i="1"/>
  <c r="S54" i="1"/>
  <c r="S8" i="1"/>
  <c r="S17" i="1"/>
  <c r="V17" i="1" s="1"/>
  <c r="M19" i="1"/>
  <c r="M16" i="1" s="1"/>
  <c r="K45" i="1"/>
  <c r="V9" i="1" l="1"/>
  <c r="V12" i="1" s="1"/>
  <c r="V19" i="1"/>
  <c r="V16" i="1"/>
  <c r="S19" i="1"/>
  <c r="S16" i="1" s="1"/>
  <c r="S9" i="1"/>
  <c r="S12" i="1" s="1"/>
  <c r="K43" i="1"/>
  <c r="K39" i="1"/>
  <c r="K37" i="1"/>
  <c r="K31" i="1"/>
  <c r="L19" i="1" l="1"/>
  <c r="L16" i="1" l="1"/>
  <c r="M7" i="1"/>
  <c r="K81" i="1" l="1"/>
  <c r="K79" i="1" l="1"/>
  <c r="K77" i="1"/>
  <c r="M9" i="1"/>
  <c r="K24" i="1"/>
  <c r="K19" i="1"/>
  <c r="K16" i="1" l="1"/>
  <c r="M8" i="1"/>
  <c r="M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tc={9D6001EC-098C-4525-A889-D365DC0934F9}</author>
    <author>tc={3D03F583-04ED-49B2-A199-59586E4120D2}</author>
    <author>tc={E1A1CC9A-35F3-44F8-80C3-F4DBBEB0C83B}</author>
    <author>tc={5DEF193E-4554-4387-AB36-C048111995C6}</author>
    <author>tc={94C4335D-2EDA-4D4A-9512-40D145555C39}</author>
    <author>tc={AB79091B-6B71-496D-8A95-7B5E7E08F95D}</author>
    <author>tc={778C3175-CC3C-40F8-A858-50A08060FB5C}</author>
    <author>tc={CAFEEE72-AE04-4E0C-8AE6-53D79728F87F}</author>
    <author>tc={B70AC4D9-FF54-4BA7-AB13-1D19F21D7785}</author>
    <author>tc={29FC8D9C-9596-4BA2-BCC8-6010717C791F}</author>
    <author>tc={965556EF-3C1E-479B-9513-499E40908CEE}</author>
    <author>tc={E9A34A42-7A6C-4C14-9FBA-BCD84D7B0AA7}</author>
    <author>tc={C2C13293-1160-4093-9AED-16AD576D9D2F}</author>
    <author>tc={65F5046C-6578-4662-A75E-DD19DB215206}</author>
    <author>tc={1A5068FA-83A3-49F3-9D89-44AF92C5CDF5}</author>
    <author>tc={B22843AC-ECBE-4254-AE94-7E7C7DAF53B7}</author>
    <author>tc={0D37281F-275B-4614-B5CA-1492689F24CD}</author>
    <author>tc={87B89B8D-3F4A-4A69-8845-A3967D56E066}</author>
    <author>tc={1FA89878-B647-4FEA-840B-6DD157D8D45F}</author>
    <author>tc={644FDEB1-1AC7-4B38-B19B-0CA1EC7D79DD}</author>
    <author>tc={9B55A13A-734E-42E9-8338-49958AB1D0B7}</author>
    <author>tc={4F67D7B5-6A61-485C-AABA-34A02B5FB6E3}</author>
    <author>tc={92A46E25-2540-4520-AEAC-E3D24E701D24}</author>
    <author>tc={720CCE05-798F-42D1-B0DA-286D4C168724}</author>
    <author>tc={F6F34E64-D483-463F-898C-94F4BA32B082}</author>
    <author>tc={0792EA08-F3CE-47AA-AE42-700C20067374}</author>
    <author>tc={C7B3C9B0-0029-48B9-8CCE-FF7FEF3AE3F6}</author>
    <author>tc={BE091562-1A48-4276-A47E-22660755881F}</author>
    <author>tc={648B4CA3-EB86-468F-8993-3CDC6FCAE67B}</author>
    <author>tc={DC0988B6-AFCB-4F2E-AA5C-4C2BB673BE4F}</author>
    <author>tc={3DCFFB72-2BC9-4CA2-8339-E526DA5D6017}</author>
    <author>tc={EBCC270F-0A6D-4C6C-AD4E-F8A7A20CD07D}</author>
    <author>tc={383C0463-53F7-45A1-8F53-CED1C3706C09}</author>
    <author>tc={5953AB85-1AA1-4202-BE9C-D07611A7EBBF}</author>
    <author>tc={658E2E76-069A-422B-AACF-710DD1F41061}</author>
    <author>tc={2B2B9EA9-5991-4672-9C5D-A2950E780F51}</author>
    <author>tc={D1BAFCBA-4CF8-44C2-B6B5-16CF8502F1B9}</author>
    <author>tc={A19E993E-6A27-4D0F-87CF-AF36B5218EB3}</author>
    <author>tc={BF3C5250-52AA-4AD2-A031-114908377A4C}</author>
    <author>tc={6913738E-4D3B-41EA-AE6F-4C05FD87D07C}</author>
    <author>tc={0DEA646C-C70B-45BA-9217-8737E644B1BE}</author>
    <author>tc={E6449097-5248-4265-AE0E-E4B71E0D1E1A}</author>
  </authors>
  <commentList>
    <comment ref="L7" authorId="0" shapeId="0" xr:uid="{9D6001EC-098C-4525-A889-D365DC0934F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51,4 tuh läheb KaMinile seaduse muudatusega, 76,2 tuh MKMile tegev kuludeks</t>
      </text>
    </comment>
    <comment ref="L8" authorId="1" shapeId="0" xr:uid="{3D03F583-04ED-49B2-A199-59586E4120D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Pr_tegevuse eelarve parandamine</t>
      </text>
    </comment>
    <comment ref="L9" authorId="2" shapeId="0" xr:uid="{E1A1CC9A-35F3-44F8-80C3-F4DBBEB0C83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Pr_tegevuse eelarve parandamine 387 tuh + 20 tuh EVK toetusest MKMi tegev kuludesse</t>
      </text>
    </comment>
    <comment ref="L17" authorId="3" shapeId="0" xr:uid="{5DEF193E-4554-4387-AB36-C048111995C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Varude soet sihtfin-st suunati EVK ettepanekul 150 tuh nende tegevustoetuseks</t>
      </text>
    </comment>
    <comment ref="L18" authorId="4" shapeId="0" xr:uid="{94C4335D-2EDA-4D4A-9512-40D145555C3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Varude soet sihtfin-st suunati EVK ettepanekul 150 tuh nende tegevustoetuseks, -20 tuh jäetakse MKMi tegev kuludeks (J. Reinaste ametikoht)</t>
      </text>
    </comment>
    <comment ref="L20" authorId="5" shapeId="0" xr:uid="{AB79091B-6B71-496D-8A95-7B5E7E08F95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161 tuh suunatud Metrosertile, 186,4 tuh RIKSi tegev toetuseks, 51,4 tuh läheb KaMinile seaduse muudatusega, 76,2 tuh MKMile tegev kuludeks</t>
      </text>
    </comment>
    <comment ref="L21" authorId="6" shapeId="0" xr:uid="{778C3175-CC3C-40F8-A858-50A08060FB5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Kvantside proj inv toetusest ümber tõstetud</t>
      </text>
    </comment>
    <comment ref="R26" authorId="7" shapeId="0" xr:uid="{CAFEEE72-AE04-4E0C-8AE6-53D79728F87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Tõstetud ümber küberi maj kuludest (konto 55)</t>
      </text>
    </comment>
    <comment ref="R28" authorId="8" shapeId="0" xr:uid="{B70AC4D9-FF54-4BA7-AB13-1D19F21D778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Tõstetud ümber digiriigi maj kuludest (konto 55)</t>
      </text>
    </comment>
    <comment ref="A30" authorId="9" shapeId="0" xr:uid="{29FC8D9C-9596-4BA2-BCC8-6010717C791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ESA</t>
      </text>
    </comment>
    <comment ref="L30" authorId="10" shapeId="0" xr:uid="{965556EF-3C1E-479B-9513-499E40908CE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A32" authorId="11" shapeId="0" xr:uid="{E9A34A42-7A6C-4C14-9FBA-BCD84D7B0AA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CERN</t>
      </text>
    </comment>
    <comment ref="L32" authorId="12" shapeId="0" xr:uid="{C2C13293-1160-4093-9AED-16AD576D9D2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4" authorId="13" shapeId="0" xr:uid="{65F5046C-6578-4662-A75E-DD19DB21520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5" authorId="14" shapeId="0" xr:uid="{1A5068FA-83A3-49F3-9D89-44AF92C5CDF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6" authorId="15" shapeId="0" xr:uid="{B22843AC-ECBE-4254-AE94-7E7C7DAF53B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38" authorId="16" shapeId="0" xr:uid="{0D37281F-275B-4614-B5CA-1492689F24C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40" authorId="17" shapeId="0" xr:uid="{87B89B8D-3F4A-4A69-8845-A3967D56E06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R41" authorId="18" shapeId="0" xr:uid="{1FA89878-B647-4FEA-840B-6DD157D8D45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üldpotist</t>
      </text>
    </comment>
    <comment ref="L44" authorId="19" shapeId="0" xr:uid="{644FDEB1-1AC7-4B38-B19B-0CA1EC7D79D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R44" authorId="20" shapeId="0" xr:uid="{9B55A13A-734E-42E9-8338-49958AB1D0B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2 tuh õpilaste teadusfestivali eripreemia laureaadile TA 1% üldpotist</t>
      </text>
    </comment>
    <comment ref="L46" authorId="21" shapeId="0" xr:uid="{4F67D7B5-6A61-485C-AABA-34A02B5FB6E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J50" authorId="22" shapeId="0" xr:uid="{92A46E25-2540-4520-AEAC-E3D24E701D2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Projekt Tulevikukindla andmemajanduse ökosüsteemi mudel</t>
      </text>
    </comment>
    <comment ref="U50" authorId="23" shapeId="0" xr:uid="{720CCE05-798F-42D1-B0DA-286D4C16872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SoMile andmevahetuse parandamise pilootprojektiks</t>
      </text>
    </comment>
    <comment ref="L51" authorId="24" shapeId="0" xr:uid="{F6F34E64-D483-463F-898C-94F4BA32B082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 suunatud erinevatele toetuse saajatele laiali (sh EIS)</t>
      </text>
    </comment>
    <comment ref="R51" authorId="25" shapeId="0" xr:uid="{0792EA08-F3CE-47AA-AE42-700C20067374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Taltecile 94,3 tuh, ETAGile 2 tuh õpilaste teadusfestivali eripreemia laureaadile</t>
      </text>
    </comment>
    <comment ref="U51" authorId="26" shapeId="0" xr:uid="{C7B3C9B0-0029-48B9-8CCE-FF7FEF3AE3F6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RMITile palgaandmete andmevahetusteenuse tsd/xtee Palgaandmed täiendamiseks</t>
      </text>
    </comment>
    <comment ref="L52" authorId="27" shapeId="0" xr:uid="{BE091562-1A48-4276-A47E-22660755881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Reaalajamaj inv toetus suunatud EISile</t>
      </text>
    </comment>
    <comment ref="L55" authorId="28" shapeId="0" xr:uid="{648B4CA3-EB86-468F-8993-3CDC6FCAE67B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"üldpotist", vt täpsem jaotus TEPi RES 2024-2027 tabelist</t>
      </text>
    </comment>
    <comment ref="R55" authorId="29" shapeId="0" xr:uid="{DC0988B6-AFCB-4F2E-AA5C-4C2BB673BE4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toetusskeem ei ole investeeringutoetus</t>
      </text>
    </comment>
    <comment ref="U55" authorId="30" shapeId="0" xr:uid="{3DCFFB72-2BC9-4CA2-8339-E526DA5D6017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Nihutatud RESi käigus aastatesse 2025-2028</t>
      </text>
    </comment>
    <comment ref="L56" authorId="31" shapeId="0" xr:uid="{EBCC270F-0A6D-4C6C-AD4E-F8A7A20CD07D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lahenduste piloteerimise toetusmeede TA 1% "üldpotist"</t>
      </text>
    </comment>
    <comment ref="R56" authorId="32" shapeId="0" xr:uid="{383C0463-53F7-45A1-8F53-CED1C3706C0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RTE toetusskeem ei ole investeeringutoetus</t>
      </text>
    </comment>
    <comment ref="R59" authorId="33" shapeId="0" xr:uid="{5953AB85-1AA1-4202-BE9C-D07611A7EBB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EISile jäetakse andmata 100 tuh Eesti Konverentsibüroole (grant TurismSF)</t>
      </text>
    </comment>
    <comment ref="T59" authorId="34" shapeId="0" xr:uid="{658E2E76-069A-422B-AACF-710DD1F4106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EISile toetus HEAKile starditoetuste nõustamiseks</t>
      </text>
    </comment>
    <comment ref="L68" authorId="35" shapeId="0" xr:uid="{2B2B9EA9-5991-4672-9C5D-A2950E780F51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RIKSilt ümber tõstetud kvantside proj kuludeks</t>
      </text>
    </comment>
    <comment ref="L69" authorId="36" shapeId="0" xr:uid="{D1BAFCBA-4CF8-44C2-B6B5-16CF8502F1B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RIKSilt ümber tõstetud kvantside proj kuludeks</t>
      </text>
    </comment>
    <comment ref="L70" authorId="37" shapeId="0" xr:uid="{A19E993E-6A27-4D0F-87CF-AF36B5218EB3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71" authorId="38" shapeId="0" xr:uid="{BF3C5250-52AA-4AD2-A031-114908377A4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Ekslikult ettev programmi sattunud summa parandamine, tegemist on TA 1% vahenditega!</t>
      </text>
    </comment>
    <comment ref="L72" authorId="39" shapeId="0" xr:uid="{6913738E-4D3B-41EA-AE6F-4C05FD87D07C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L73" authorId="40" shapeId="0" xr:uid="{0DEA646C-C70B-45BA-9217-8737E644B1BE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TA 1% "üldpotist"</t>
      </text>
    </comment>
    <comment ref="U80" authorId="41" shapeId="0" xr:uid="{E6449097-5248-4265-AE0E-E4B71E0D1E1A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KLIMile suunatud</t>
      </text>
    </comment>
  </commentList>
</comments>
</file>

<file path=xl/sharedStrings.xml><?xml version="1.0" encoding="utf-8"?>
<sst xmlns="http://schemas.openxmlformats.org/spreadsheetml/2006/main" count="420" uniqueCount="189">
  <si>
    <t>Lisa 7</t>
  </si>
  <si>
    <t>Majandus- ja Kommunikatsiooniministeeriumi kindlaksmääratud vahendite kulude eelarvest antavad sihtotstabelised ja tegevustoetused</t>
  </si>
  <si>
    <t>Digiühiskonna programm</t>
  </si>
  <si>
    <t>Teadmussiirde programm</t>
  </si>
  <si>
    <t>Ettevõtluskeskkonna programm</t>
  </si>
  <si>
    <t>Tööturuprogramm</t>
  </si>
  <si>
    <t>Soolise võrdsuse ja võrdse kohtlemise programm</t>
  </si>
  <si>
    <t>Kulud toetustele kokku</t>
  </si>
  <si>
    <t>Toetuse saaja/eesmärk</t>
  </si>
  <si>
    <t>Programmi tegevus - kood</t>
  </si>
  <si>
    <t>Programmi tegevus - nimi</t>
  </si>
  <si>
    <t>Teenus</t>
  </si>
  <si>
    <t>Teenus - nimi</t>
  </si>
  <si>
    <t>Eelarve liik</t>
  </si>
  <si>
    <t>Eelarve objekt</t>
  </si>
  <si>
    <t>Objekti nimi</t>
  </si>
  <si>
    <t>Majanduslik sisu</t>
  </si>
  <si>
    <t>Riigikogus kinnitatud eelarve 2024</t>
  </si>
  <si>
    <t>Sisemised muudatused</t>
  </si>
  <si>
    <t xml:space="preserve">MKMi 25.01.2024 kk-ga nr 10 kinnitatud eelarve </t>
  </si>
  <si>
    <t>MKMi 25.01.2024 kk nr 11</t>
  </si>
  <si>
    <t>2024. aasta RE seaduse muutmise seadus 04.06.2024</t>
  </si>
  <si>
    <t>MKMi 10.06.2024 kk nr 41</t>
  </si>
  <si>
    <t>2024. aasta lisaeelarve seadus</t>
  </si>
  <si>
    <t>Lõplik eelarve 2024</t>
  </si>
  <si>
    <t>Stsenaarium asutuse kulumudelis</t>
  </si>
  <si>
    <t>EELARVE</t>
  </si>
  <si>
    <t>MINISTRI_LIIGENDUS</t>
  </si>
  <si>
    <t>EELARVE_ ULE</t>
  </si>
  <si>
    <t>SEADUSE_MUUDATUS</t>
  </si>
  <si>
    <t>LISA-EELARVE</t>
  </si>
  <si>
    <t/>
  </si>
  <si>
    <t>Periood asutuse kulumudelis</t>
  </si>
  <si>
    <t>2024_01</t>
  </si>
  <si>
    <t>2024_08</t>
  </si>
  <si>
    <t>2024_05</t>
  </si>
  <si>
    <t>2024_03</t>
  </si>
  <si>
    <t>2024_06</t>
  </si>
  <si>
    <t>AS Eesti Varude Keskus</t>
  </si>
  <si>
    <t>ATN10-VARUD</t>
  </si>
  <si>
    <t>TIEK0104</t>
  </si>
  <si>
    <t>Ettevõtluse arendamise soodustamine</t>
  </si>
  <si>
    <t>TIEK010311</t>
  </si>
  <si>
    <t>Riigi tegevusvarude moodustamine, haldamine ning kasutuselevõtmise korraldamine</t>
  </si>
  <si>
    <t>20</t>
  </si>
  <si>
    <t>Antud sihtfinantseerimine</t>
  </si>
  <si>
    <t>Antud tegevustoetused</t>
  </si>
  <si>
    <t>AS Eesti Varude Keskus kokku</t>
  </si>
  <si>
    <t>Riigi Infokommunikatsiooni SA</t>
  </si>
  <si>
    <t>ATN10-RIKS</t>
  </si>
  <si>
    <t>IYDA0102</t>
  </si>
  <si>
    <t>Digiriigi alusbaasi kindlustamine</t>
  </si>
  <si>
    <t>IYDA010211</t>
  </si>
  <si>
    <t>Raadioside korraldamine</t>
  </si>
  <si>
    <t>IN002000</t>
  </si>
  <si>
    <t>IT investeeringud</t>
  </si>
  <si>
    <t>Antud investeeringutoetus</t>
  </si>
  <si>
    <t>Antud tegevustoetus ja sihtfinantseerimine (sh kvantside proj)</t>
  </si>
  <si>
    <t>SR070077</t>
  </si>
  <si>
    <t>IT vajaku kompenseerimine 4</t>
  </si>
  <si>
    <t>Riigi Infokommunikatsiooni SA kokku</t>
  </si>
  <si>
    <t>Rahvusvaheline Kaitseuuringute Keskus</t>
  </si>
  <si>
    <t>SR07A185</t>
  </si>
  <si>
    <t>Antud sihtfinantseerimine (Tallinn DigitalSummit 2024)</t>
  </si>
  <si>
    <t>IYDA0201</t>
  </si>
  <si>
    <t>Riikliku küberturvalisuse juhtimine ja koordineerimine</t>
  </si>
  <si>
    <t>Antud sihtfinantseerimine (kõrgemad küber-kaitse ja digiriigi kursused)</t>
  </si>
  <si>
    <t>Rahvusvaheline Kaitseuuringute Keskus kokku</t>
  </si>
  <si>
    <t>E-riigi Akadeemia Sihtasutus</t>
  </si>
  <si>
    <t>Antud sihtfinantseerimine (e-valitsemise 
konverents „e-Governance Conference“ )</t>
  </si>
  <si>
    <t>E-riigi Akadeemia Sihtasutus kokku</t>
  </si>
  <si>
    <t>Euroopa Kosmose Agentuur</t>
  </si>
  <si>
    <t>N10-TA-ESA-CERN</t>
  </si>
  <si>
    <t>TI020101</t>
  </si>
  <si>
    <t>Ettevõtete innovatsiooni-, digi- ja rohepöörde soodustamine</t>
  </si>
  <si>
    <t>TI02010101</t>
  </si>
  <si>
    <t>Ettevõtete TAI teadlikkuse ja arendustegevuse toetamise soodustamine</t>
  </si>
  <si>
    <t>Antud sihtfin - ESA valikprogrammides osalemine</t>
  </si>
  <si>
    <t>Euroopa Kosmose Agentuur kokku</t>
  </si>
  <si>
    <t>Euroopa Tuumauuringute Organisatsioon</t>
  </si>
  <si>
    <t>Antud tegevustoetused (ühekordne liitumistasu)</t>
  </si>
  <si>
    <t>Euroopa Tuumauuringute Organisatsioon kokku</t>
  </si>
  <si>
    <t>SA Tallinna Teaduspark Tehnopol</t>
  </si>
  <si>
    <t>N10-TA-TEHISINTELLEK, ATN10-TEHNOP</t>
  </si>
  <si>
    <t>Antud sihtfinantseerimine - erasektori tehisintellekti pilootprojektid</t>
  </si>
  <si>
    <t>N10-TA-A-ESTONIA, ATN10-TEHNOP</t>
  </si>
  <si>
    <t>Antud sihtfinantseerimine - Accelerate Estonia programm</t>
  </si>
  <si>
    <t>N10-TA-TEADUSMAH.IDU, ATN10-TEHNOP</t>
  </si>
  <si>
    <t>Antud sihtfinantseerimine - teadus- ja tehnoloogiamahukate idude kiirendid ja teised tegevused</t>
  </si>
  <si>
    <t>SA Tallinna Teaduspark Tehnopol kokku</t>
  </si>
  <si>
    <t>Tartu Ülikool</t>
  </si>
  <si>
    <t>N10-TA-TEADUSMAH.IDU, ATN10-TY</t>
  </si>
  <si>
    <t>Tartu Ülikool kokku</t>
  </si>
  <si>
    <t>Tallinna Tehnikaülikool</t>
  </si>
  <si>
    <t>N10-TA-E-DIH, ATN10-TALTEC</t>
  </si>
  <si>
    <t>Antud sihtfinantseerimine - e-DIH rahastamine AI ja robootikaga seotud uurimis- ja arendustegevuseks</t>
  </si>
  <si>
    <t>Antud sihtfinantseerimine (fookusvaldkonnad, GEM uuringud)</t>
  </si>
  <si>
    <t>Tallinna Tehnikaülikool kokku</t>
  </si>
  <si>
    <t>Sihtasutus Eesti Teadusagentuur</t>
  </si>
  <si>
    <t>N10-TA-FOOKUS, ATN10-ETAG</t>
  </si>
  <si>
    <t>Antud sihtfinantseerimine (valdkondlike uuringute programm)</t>
  </si>
  <si>
    <t>Sihtasutus Eesti Teadusagentuur kokku</t>
  </si>
  <si>
    <t>MTÜ Maakondlikud Arenduskeskused</t>
  </si>
  <si>
    <t>N10-TA-REAALAJAANDM, ATN10-MAK</t>
  </si>
  <si>
    <t>Antud tegevustoetused (teadus- ja arendustegevus, RTE)</t>
  </si>
  <si>
    <t>MTÜ Maakondlikud Arenduskeskused kokku</t>
  </si>
  <si>
    <t>Eesti Tööandjate Keskliit</t>
  </si>
  <si>
    <t>Antud sihtfinantseerimine (fookusvaldkonnad)</t>
  </si>
  <si>
    <t>Eesti Tööandjate Keskliit kokku</t>
  </si>
  <si>
    <t>WBS: N10-TA-ANDMEMAJMUDEL</t>
  </si>
  <si>
    <t>Antud sihtfinantseerimine (toetuse saajad selguvad eelarveaasta jooksul)</t>
  </si>
  <si>
    <t>N10-TEADUSARENDUS, N10-TEADUSARENDUS_2</t>
  </si>
  <si>
    <t>N10-TA-REAALAJAANDM</t>
  </si>
  <si>
    <t>N10-TEADUSARENDUS</t>
  </si>
  <si>
    <t>TI020102</t>
  </si>
  <si>
    <t>Teadus- ja tehnoloogiamahuka iduettevõtluse arendamine</t>
  </si>
  <si>
    <t>Toetused teadus- ja arendustegevuseks kokku</t>
  </si>
  <si>
    <t>Ettevõtluse ja Innovatsiooni SA</t>
  </si>
  <si>
    <t>8N10-RE00-05231, 8N10-RE00-ARENDUSVOI, 8N10-RE00-ROHERUP, N10-ESG MEISTRIKLASS - 8N10-RE00-ESG</t>
  </si>
  <si>
    <t>Antud sihtfin - EIS riiklikud programmid</t>
  </si>
  <si>
    <t>Antud sihtfinantseerimine (RTE lahenduste piloteerimise toetusmeede)</t>
  </si>
  <si>
    <t>8N10-RE00-HALDUS</t>
  </si>
  <si>
    <t>Antud tegevustoetused - halduskulu</t>
  </si>
  <si>
    <t>ATN10-EAS, 8N10-RE00-RRFKM-EAS</t>
  </si>
  <si>
    <t>TIEK0102</t>
  </si>
  <si>
    <t>Ettevõtete konkurentsivõime ja ekspordi edendamine</t>
  </si>
  <si>
    <t>SE000060</t>
  </si>
  <si>
    <t>RRF - tehniline abi</t>
  </si>
  <si>
    <t>Antud sihtfin - abikõlbmatu RRFi KM</t>
  </si>
  <si>
    <t>8N10-RE00-TURISM, 8N10-RE00-TURISMSF, 8N10-RE00-UUSTURG</t>
  </si>
  <si>
    <t>Antud sihtfin - riiklikud programmid (sh turismi tegevused)</t>
  </si>
  <si>
    <t>8N10-RE00-05211</t>
  </si>
  <si>
    <t>TIEK0103</t>
  </si>
  <si>
    <t>Tehnoloogia- ja arendusmahukate investeeringute soodustamine</t>
  </si>
  <si>
    <t>IN005001</t>
  </si>
  <si>
    <t>Suurinvestori investeeringutoetus</t>
  </si>
  <si>
    <t>8N10-RE00-VALISINVES</t>
  </si>
  <si>
    <t>Antud sihtfin - riiklikud programmid</t>
  </si>
  <si>
    <t>8N10-RE00-ERESIDENT, 8N10-RE00-WORKINEST</t>
  </si>
  <si>
    <t>Ettevõtluse ja Innovatsiooni SA kokku</t>
  </si>
  <si>
    <t>AS Metrosert </t>
  </si>
  <si>
    <t>Antud investeeringutoetus (kvantside proj)</t>
  </si>
  <si>
    <t>Antud tegevustoetused (kvantside proj)</t>
  </si>
  <si>
    <t>ATN10-METROS, N10-TEADUSARENDUS</t>
  </si>
  <si>
    <t>Antud tegevustoetused (teadus- ja arendustegevus)</t>
  </si>
  <si>
    <t>N10-DROONIKESKUS</t>
  </si>
  <si>
    <t>Antud tegevustoetused - rakendusuuringute keskus</t>
  </si>
  <si>
    <t>Antud tegevustoetused -kvanttehnoloogiate instituudi loomine</t>
  </si>
  <si>
    <t>ATN10-METROS</t>
  </si>
  <si>
    <t>AS Metrosert kokku</t>
  </si>
  <si>
    <t>Eesti Standardimis- ja Akrediteerimiskeskus MTÜ</t>
  </si>
  <si>
    <t>ATN10-STANDA</t>
  </si>
  <si>
    <t>Eesti Standardimis- ja Akrediteerimiskeskus MTÜ kokku</t>
  </si>
  <si>
    <t>Tartu linn</t>
  </si>
  <si>
    <t>ATN10-TARTU</t>
  </si>
  <si>
    <t>Antud tegevustoetused (2024. a kultuuripealinn)</t>
  </si>
  <si>
    <t>Tartu linn kokku</t>
  </si>
  <si>
    <t>AS A.L.A.R.A.</t>
  </si>
  <si>
    <t>ATN10-ALARA, WBS: N10-TA-rakendusuurin</t>
  </si>
  <si>
    <t>Antud tegevustoetused (teadus- ja arendustegev)</t>
  </si>
  <si>
    <t>AS A.L.A.R.A.  kokku</t>
  </si>
  <si>
    <t>Mittetulundusühing Viikingite küla</t>
  </si>
  <si>
    <t>SE000099</t>
  </si>
  <si>
    <t>Täiendav eraldis</t>
  </si>
  <si>
    <t>MTÜ Visit Virumaa</t>
  </si>
  <si>
    <t>Eesti Tarbijakaitse Liit</t>
  </si>
  <si>
    <t>Täiendavad eraldised kokku</t>
  </si>
  <si>
    <t>Eesti Töötukassa</t>
  </si>
  <si>
    <t>HE010102</t>
  </si>
  <si>
    <t>Aktiivsed ja passiivsed tööturumeetmed</t>
  </si>
  <si>
    <t>Eraldis tööturuteenuste ja -toetuste sihtkapitali</t>
  </si>
  <si>
    <t>Eesti Töötukassa kokku</t>
  </si>
  <si>
    <t>Eesti Naisuurimus- ja Teabe-keskus ja MTÜ Oma Tuba</t>
  </si>
  <si>
    <t>8N10-RE00-03111, wbs:1N10-HMN-SOO</t>
  </si>
  <si>
    <t>HE090101</t>
  </si>
  <si>
    <t>Soolise võrdõiguslikkuse valdkonna arendamine</t>
  </si>
  <si>
    <t>SE000017</t>
  </si>
  <si>
    <t>Hasartmängumaksust töö-tervis-sotsiaal</t>
  </si>
  <si>
    <t>SA Eesti Inimõiguste Keskus</t>
  </si>
  <si>
    <t>8N10-RE00-03111, wbs: 1N10-HMN-VPO</t>
  </si>
  <si>
    <t>HE090102</t>
  </si>
  <si>
    <t>Võrdse kohtlemise valdkonna arendamine</t>
  </si>
  <si>
    <t>Toetused hasartmängumaksust kokku</t>
  </si>
  <si>
    <t xml:space="preserve">MKMi 12.07.2024 kk-ga nr 59 kinnitatud eelarve </t>
  </si>
  <si>
    <t>2024_01 2024_03</t>
  </si>
  <si>
    <t>2024_11</t>
  </si>
  <si>
    <t>Antud sihtfinantseerimine (projekti „Tuleviku loojad“ Eesti poolsed korralduskulud)</t>
  </si>
  <si>
    <t>2024. aasta RE seaduse muutmise seadus 04.12.2024</t>
  </si>
  <si>
    <t>Majandus- ja infotehnoloogiaministri käskkirja "Majandus- ja Kommunikatsiooni-                                                                                                                                                                                                                                                                                                                                                                                                                         ministeeriumi ja tema valitsemisala asutuste 2024. a eelarvete kinnitamine" juurde (muudetud sõnastuses)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</si>
</sst>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Arial"/>
      <family val="2"/>
      <charset val="186"/>
    </font>
    <font>
      <sz val="9"/>
      <name val="Times New Roman"/>
      <family val="1"/>
      <charset val="186"/>
    </font>
    <font>
      <i/>
      <u/>
      <sz val="9"/>
      <name val="Times New Roman"/>
      <family val="1"/>
      <charset val="186"/>
    </font>
    <font>
      <sz val="11"/>
      <color rgb="FFFFFFFF"/>
      <name val="Calibri"/>
      <family val="2"/>
      <scheme val="minor"/>
    </font>
    <font>
      <i/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rgb="FF333333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sz val="10"/>
      <color rgb="FF202124"/>
      <name val="Times New Roman"/>
      <family val="1"/>
      <charset val="186"/>
    </font>
    <font>
      <b/>
      <sz val="10"/>
      <color rgb="FF202124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8"/>
      <name val="Calibri"/>
      <family val="2"/>
      <scheme val="minor"/>
    </font>
    <font>
      <sz val="9"/>
      <color theme="1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rgb="FF202124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10"/>
      <color rgb="FF202122"/>
      <name val="Times New Roman"/>
      <family val="1"/>
      <charset val="186"/>
    </font>
    <font>
      <sz val="10"/>
      <color rgb="FF202122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  <scheme val="minor"/>
    </font>
    <font>
      <sz val="10"/>
      <color rgb="FF2D2C2D"/>
      <name val="Times New Roman"/>
      <family val="1"/>
      <charset val="186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32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6" fillId="0" borderId="0" xfId="1" applyNumberFormat="1" applyFont="1" applyAlignment="1">
      <alignment horizontal="right" wrapText="1"/>
    </xf>
    <xf numFmtId="3" fontId="6" fillId="0" borderId="0" xfId="1" applyNumberFormat="1" applyFont="1" applyAlignment="1" applyProtection="1">
      <alignment horizontal="right"/>
      <protection hidden="1"/>
    </xf>
    <xf numFmtId="0" fontId="0" fillId="0" borderId="0" xfId="0" applyAlignment="1">
      <alignment wrapText="1"/>
    </xf>
    <xf numFmtId="3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wrapText="1"/>
    </xf>
    <xf numFmtId="0" fontId="18" fillId="2" borderId="1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9" fillId="0" borderId="1" xfId="2" applyFont="1" applyBorder="1" applyAlignment="1">
      <alignment vertical="center" wrapText="1"/>
    </xf>
    <xf numFmtId="0" fontId="9" fillId="0" borderId="1" xfId="2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1" xfId="0" applyFont="1" applyBorder="1" applyAlignment="1">
      <alignment vertical="center" wrapText="1"/>
    </xf>
    <xf numFmtId="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2" fillId="0" borderId="0" xfId="0" applyFont="1" applyAlignment="1">
      <alignment wrapText="1"/>
    </xf>
    <xf numFmtId="0" fontId="23" fillId="2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9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1" applyNumberFormat="1" applyFont="1" applyAlignment="1">
      <alignment horizontal="right"/>
    </xf>
    <xf numFmtId="0" fontId="27" fillId="2" borderId="0" xfId="0" applyFont="1" applyFill="1" applyAlignment="1">
      <alignment vertical="center"/>
    </xf>
    <xf numFmtId="0" fontId="28" fillId="0" borderId="1" xfId="0" applyFont="1" applyBorder="1" applyAlignment="1">
      <alignment vertical="center" wrapText="1"/>
    </xf>
    <xf numFmtId="0" fontId="12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3" fontId="6" fillId="0" borderId="0" xfId="1" applyNumberFormat="1" applyFont="1" applyAlignment="1">
      <alignment horizontal="right" vertical="center" wrapText="1"/>
    </xf>
    <xf numFmtId="3" fontId="6" fillId="0" borderId="0" xfId="1" applyNumberFormat="1" applyFont="1" applyAlignment="1" applyProtection="1">
      <alignment horizontal="right" vertical="center"/>
      <protection hidden="1"/>
    </xf>
    <xf numFmtId="0" fontId="19" fillId="0" borderId="1" xfId="0" applyFont="1" applyBorder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21" fillId="4" borderId="4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1" fillId="4" borderId="4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4" fontId="4" fillId="3" borderId="1" xfId="2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6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3" fontId="3" fillId="3" borderId="1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16" fillId="0" borderId="0" xfId="3" applyFont="1" applyAlignment="1">
      <alignment horizontal="left" vertical="center" wrapText="1"/>
    </xf>
    <xf numFmtId="49" fontId="4" fillId="3" borderId="0" xfId="3" applyNumberFormat="1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3" fontId="6" fillId="0" borderId="0" xfId="1" applyNumberFormat="1" applyFont="1" applyAlignment="1">
      <alignment horizontal="right" wrapText="1"/>
    </xf>
    <xf numFmtId="0" fontId="15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</cellXfs>
  <cellStyles count="4">
    <cellStyle name="Hüperlink" xfId="3" builtinId="8"/>
    <cellStyle name="Normaallaad" xfId="0" builtinId="0"/>
    <cellStyle name="Normaallaad 2" xfId="1" xr:uid="{68529AA7-28B5-44F1-A5C6-F2AD667E0CEB}"/>
    <cellStyle name="Normaallaad 4" xfId="2" xr:uid="{5104368E-7262-4C13-9D11-921B341511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Siemann" id="{34179E4F-564C-4BF2-82E9-FBC2153CF4EF}" userId="S-1-5-21-2009196460-3307222142-1538888278-3731" providerId="AD"/>
  <person displayName="Krista Fazijev" id="{A851006F-DEBF-4DAA-8DB7-9079B4C5F36D}" userId="S-1-5-21-2009196460-3307222142-1538888278-12158" providerId="AD"/>
  <person displayName="Helena Siemann - MKM" id="{2497686E-1C79-4D45-BC48-EC8AF75F8B01}" userId="S::Helena.Siemann@mkm.ee::bfb8c127-faf0-4904-8e5a-85d9b418a8d8" providerId="AD"/>
</personList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7" dT="2024-01-11T13:05:06.87" personId="{34179E4F-564C-4BF2-82E9-FBC2153CF4EF}" id="{9D6001EC-098C-4525-A889-D365DC0934F9}">
    <text>51,4 tuh läheb KaMinile seaduse muudatusega, 76,2 tuh MKMile tegev kuludeks</text>
  </threadedComment>
  <threadedComment ref="L8" dT="2024-01-11T13:05:23.38" personId="{34179E4F-564C-4BF2-82E9-FBC2153CF4EF}" id="{3D03F583-04ED-49B2-A199-59586E4120D2}">
    <text>Pr_tegevuse eelarve parandamine</text>
  </threadedComment>
  <threadedComment ref="L9" dT="2024-01-11T13:06:08.70" personId="{34179E4F-564C-4BF2-82E9-FBC2153CF4EF}" id="{E1A1CC9A-35F3-44F8-80C3-F4DBBEB0C83B}">
    <text>Pr_tegevuse eelarve parandamine 387 tuh + 20 tuh EVK toetusest MKMi tegev kuludesse</text>
  </threadedComment>
  <threadedComment ref="L17" dT="2024-01-11T07:46:15.79" personId="{34179E4F-564C-4BF2-82E9-FBC2153CF4EF}" id="{5DEF193E-4554-4387-AB36-C048111995C6}">
    <text>Varude soet sihtfin-st suunati EVK ettepanekul 150 tuh nende tegevustoetuseks</text>
  </threadedComment>
  <threadedComment ref="L18" dT="2024-01-11T07:47:32.57" personId="{34179E4F-564C-4BF2-82E9-FBC2153CF4EF}" id="{94C4335D-2EDA-4D4A-9512-40D145555C39}">
    <text>Varude soet sihtfin-st suunati EVK ettepanekul 150 tuh nende tegevustoetuseks, -20 tuh jäetakse MKMi tegev kuludeks (J. Reinaste ametikoht)</text>
  </threadedComment>
  <threadedComment ref="L20" dT="2024-01-05T15:47:42.98" personId="{34179E4F-564C-4BF2-82E9-FBC2153CF4EF}" id="{AB79091B-6B71-496D-8A95-7B5E7E08F95D}">
    <text>161 tuh suunatud Metrosertile, 186,4 tuh RIKSi tegev toetuseks, 51,4 tuh läheb KaMinile seaduse muudatusega, 76,2 tuh MKMile tegev kuludeks</text>
  </threadedComment>
  <threadedComment ref="L21" dT="2024-01-05T15:58:49.52" personId="{34179E4F-564C-4BF2-82E9-FBC2153CF4EF}" id="{778C3175-CC3C-40F8-A858-50A08060FB5C}">
    <text>Kvantside proj inv toetusest ümber tõstetud</text>
  </threadedComment>
  <threadedComment ref="R26" dT="2024-06-26T06:45:48.59" personId="{2497686E-1C79-4D45-BC48-EC8AF75F8B01}" id="{CAFEEE72-AE04-4E0C-8AE6-53D79728F87F}">
    <text>Tõstetud ümber küberi maj kuludest (konto 55)</text>
  </threadedComment>
  <threadedComment ref="R28" dT="2024-06-26T06:46:19.81" personId="{2497686E-1C79-4D45-BC48-EC8AF75F8B01}" id="{B70AC4D9-FF54-4BA7-AB13-1D19F21D7785}">
    <text>Tõstetud ümber digiriigi maj kuludest (konto 55)</text>
  </threadedComment>
  <threadedComment ref="A30" dT="2024-02-02T09:28:20.72" personId="{A851006F-DEBF-4DAA-8DB7-9079B4C5F36D}" id="{29FC8D9C-9596-4BA2-BCC8-6010717C791F}">
    <text>ESA</text>
  </threadedComment>
  <threadedComment ref="L30" dT="2024-01-11T07:48:50.33" personId="{34179E4F-564C-4BF2-82E9-FBC2153CF4EF}" id="{965556EF-3C1E-479B-9513-499E40908CEE}">
    <text>TA 1% "üldpotist"</text>
  </threadedComment>
  <threadedComment ref="A32" dT="2024-02-02T09:28:28.58" personId="{A851006F-DEBF-4DAA-8DB7-9079B4C5F36D}" id="{E9A34A42-7A6C-4C14-9FBA-BCD84D7B0AA7}">
    <text>CERN</text>
  </threadedComment>
  <threadedComment ref="L32" dT="2024-01-11T07:48:54.26" personId="{34179E4F-564C-4BF2-82E9-FBC2153CF4EF}" id="{C2C13293-1160-4093-9AED-16AD576D9D2F}">
    <text>TA 1% "üldpotist"</text>
  </threadedComment>
  <threadedComment ref="L34" dT="2024-01-11T07:49:09.84" personId="{34179E4F-564C-4BF2-82E9-FBC2153CF4EF}" id="{65F5046C-6578-4662-A75E-DD19DB215206}">
    <text>TA 1% "üldpotist"</text>
  </threadedComment>
  <threadedComment ref="L35" dT="2024-01-11T07:49:13.58" personId="{34179E4F-564C-4BF2-82E9-FBC2153CF4EF}" id="{1A5068FA-83A3-49F3-9D89-44AF92C5CDF5}">
    <text>TA 1% "üldpotist"</text>
  </threadedComment>
  <threadedComment ref="L36" dT="2024-01-11T07:49:17.06" personId="{34179E4F-564C-4BF2-82E9-FBC2153CF4EF}" id="{B22843AC-ECBE-4254-AE94-7E7C7DAF53B7}">
    <text>TA 1% "üldpotist"</text>
  </threadedComment>
  <threadedComment ref="L38" dT="2024-01-11T07:49:30.59" personId="{34179E4F-564C-4BF2-82E9-FBC2153CF4EF}" id="{0D37281F-275B-4614-B5CA-1492689F24CD}">
    <text>TA 1% "üldpotist"</text>
  </threadedComment>
  <threadedComment ref="L40" dT="2024-01-11T07:49:38.51" personId="{34179E4F-564C-4BF2-82E9-FBC2153CF4EF}" id="{87B89B8D-3F4A-4A69-8845-A3967D56E066}">
    <text>TA 1% "üldpotist"</text>
  </threadedComment>
  <threadedComment ref="R41" dT="2024-06-21T09:27:56.11" personId="{2497686E-1C79-4D45-BC48-EC8AF75F8B01}" id="{1FA89878-B647-4FEA-840B-6DD157D8D45F}">
    <text>TA 1% üldpotist</text>
  </threadedComment>
  <threadedComment ref="L44" dT="2024-01-11T07:49:48.79" personId="{34179E4F-564C-4BF2-82E9-FBC2153CF4EF}" id="{644FDEB1-1AC7-4B38-B19B-0CA1EC7D79DD}">
    <text>TA 1% "üldpotist"</text>
  </threadedComment>
  <threadedComment ref="R44" dT="2024-06-26T06:44:07.93" personId="{2497686E-1C79-4D45-BC48-EC8AF75F8B01}" id="{9B55A13A-734E-42E9-8338-49958AB1D0B7}">
    <text>2 tuh õpilaste teadusfestivali eripreemia laureaadile TA 1% üldpotist</text>
  </threadedComment>
  <threadedComment ref="L46" dT="2024-01-11T07:49:58.94" personId="{34179E4F-564C-4BF2-82E9-FBC2153CF4EF}" id="{4F67D7B5-6A61-485C-AABA-34A02B5FB6E3}">
    <text>TA 1% "üldpotist"</text>
  </threadedComment>
  <threadedComment ref="J50" dT="2024-11-18T14:03:26.47" personId="{2497686E-1C79-4D45-BC48-EC8AF75F8B01}" id="{92A46E25-2540-4520-AEAC-E3D24E701D24}">
    <text>Projekt Tulevikukindla andmemajanduse ökosüsteemi mudel</text>
  </threadedComment>
  <threadedComment ref="U50" dT="2024-11-18T14:02:23.50" personId="{2497686E-1C79-4D45-BC48-EC8AF75F8B01}" id="{720CCE05-798F-42D1-B0DA-286D4C168724}">
    <text>SoMile andmevahetuse parandamise pilootprojektiks</text>
  </threadedComment>
  <threadedComment ref="L51" dT="2024-01-11T07:52:47.54" personId="{34179E4F-564C-4BF2-82E9-FBC2153CF4EF}" id="{F6F34E64-D483-463F-898C-94F4BA32B082}">
    <text>TA 1% "üldpotist" suunatud erinevatele toetuse saajatele laiali (sh EIS)</text>
  </threadedComment>
  <threadedComment ref="R51" dT="2024-06-21T09:27:38.54" personId="{2497686E-1C79-4D45-BC48-EC8AF75F8B01}" id="{0792EA08-F3CE-47AA-AE42-700C20067374}">
    <text>Taltecile 94,3 tuh, ETAGile 2 tuh õpilaste teadusfestivali eripreemia laureaadile</text>
  </threadedComment>
  <threadedComment ref="U51" dT="2024-11-18T14:10:55.44" personId="{2497686E-1C79-4D45-BC48-EC8AF75F8B01}" id="{C7B3C9B0-0029-48B9-8CCE-FF7FEF3AE3F6}">
    <text>RMITile palgaandmete andmevahetusteenuse tsd/xtee Palgaandmed täiendamiseks</text>
  </threadedComment>
  <threadedComment ref="L52" dT="2024-01-11T07:55:42.14" personId="{34179E4F-564C-4BF2-82E9-FBC2153CF4EF}" id="{BE091562-1A48-4276-A47E-22660755881F}">
    <text>Reaalajamaj inv toetus suunatud EISile</text>
  </threadedComment>
  <threadedComment ref="L55" dT="2024-01-11T07:50:32.96" personId="{34179E4F-564C-4BF2-82E9-FBC2153CF4EF}" id="{648B4CA3-EB86-468F-8993-3CDC6FCAE67B}">
    <text>TA 1% "üldpotist", vt täpsem jaotus TEPi RES 2024-2027 tabelist</text>
  </threadedComment>
  <threadedComment ref="R55" dT="2024-06-26T06:47:57.12" personId="{2497686E-1C79-4D45-BC48-EC8AF75F8B01}" id="{DC0988B6-AFCB-4F2E-AA5C-4C2BB673BE4F}">
    <text>RTE toetusskeem ei ole investeeringutoetus</text>
  </threadedComment>
  <threadedComment ref="U55" dT="2024-11-18T14:12:38.08" personId="{2497686E-1C79-4D45-BC48-EC8AF75F8B01}" id="{3DCFFB72-2BC9-4CA2-8339-E526DA5D6017}">
    <text>Nihutatud RESi käigus aastatesse 2025-2028</text>
  </threadedComment>
  <threadedComment ref="L56" dT="2024-01-11T08:27:47.85" personId="{34179E4F-564C-4BF2-82E9-FBC2153CF4EF}" id="{EBCC270F-0A6D-4C6C-AD4E-F8A7A20CD07D}">
    <text>RTE lahenduste piloteerimise toetusmeede TA 1% "üldpotist"</text>
  </threadedComment>
  <threadedComment ref="R56" dT="2024-06-26T06:47:46.24" personId="{2497686E-1C79-4D45-BC48-EC8AF75F8B01}" id="{383C0463-53F7-45A1-8F53-CED1C3706C09}">
    <text>RTE toetusskeem ei ole investeeringutoetus</text>
  </threadedComment>
  <threadedComment ref="R59" dT="2024-06-21T06:54:23.14" personId="{2497686E-1C79-4D45-BC48-EC8AF75F8B01}" id="{5953AB85-1AA1-4202-BE9C-D07611A7EBBF}">
    <text>EISile jäetakse andmata 100 tuh Eesti Konverentsibüroole (grant TurismSF)</text>
  </threadedComment>
  <threadedComment ref="T59" dT="2024-11-27T10:56:00.24" personId="{2497686E-1C79-4D45-BC48-EC8AF75F8B01}" id="{658E2E76-069A-422B-AACF-710DD1F41061}">
    <text>EISile toetus HEAKile starditoetuste nõustamiseks</text>
  </threadedComment>
  <threadedComment ref="L68" dT="2024-01-05T15:45:42.34" personId="{34179E4F-564C-4BF2-82E9-FBC2153CF4EF}" id="{2B2B9EA9-5991-4672-9C5D-A2950E780F51}">
    <text>RIKSilt ümber tõstetud kvantside proj kuludeks</text>
  </threadedComment>
  <threadedComment ref="L69" dT="2024-01-05T15:45:47.56" personId="{34179E4F-564C-4BF2-82E9-FBC2153CF4EF}" id="{D1BAFCBA-4CF8-44C2-B6B5-16CF8502F1B9}">
    <text>RIKSilt ümber tõstetud kvantside proj kuludeks</text>
  </threadedComment>
  <threadedComment ref="L70" dT="2024-01-11T07:50:53.40" personId="{34179E4F-564C-4BF2-82E9-FBC2153CF4EF}" id="{A19E993E-6A27-4D0F-87CF-AF36B5218EB3}">
    <text>TA 1% "üldpotist"</text>
  </threadedComment>
  <threadedComment ref="L71" dT="2024-01-11T09:09:53.56" personId="{34179E4F-564C-4BF2-82E9-FBC2153CF4EF}" id="{BF3C5250-52AA-4AD2-A031-114908377A4C}">
    <text>Ekslikult ettev programmi sattunud summa parandamine, tegemist on TA 1% vahenditega!</text>
  </threadedComment>
  <threadedComment ref="L72" dT="2024-01-11T07:50:56.99" personId="{34179E4F-564C-4BF2-82E9-FBC2153CF4EF}" id="{6913738E-4D3B-41EA-AE6F-4C05FD87D07C}">
    <text>TA 1% "üldpotist"</text>
  </threadedComment>
  <threadedComment ref="L73" dT="2024-01-11T07:51:00.62" personId="{34179E4F-564C-4BF2-82E9-FBC2153CF4EF}" id="{0DEA646C-C70B-45BA-9217-8737E644B1BE}">
    <text>TA 1% "üldpotist"</text>
  </threadedComment>
  <threadedComment ref="U80" dT="2024-11-18T14:11:37.29" personId="{2497686E-1C79-4D45-BC48-EC8AF75F8B01}" id="{E6449097-5248-4265-AE0E-E4B71E0D1E1A}">
    <text>KLIMile suunatud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microsoft.com/office/2017/10/relationships/threadedComment" Target="../threadedComments/threadedComment1.xml"/><Relationship Id="rId2" Type="http://schemas.openxmlformats.org/officeDocument/2006/relationships/hyperlink" Target="https://et.wikipedia.org/wiki/Rahvusvaheline_Kaitseuuringute_Keskus" TargetMode="External"/><Relationship Id="rId1" Type="http://schemas.openxmlformats.org/officeDocument/2006/relationships/hyperlink" Target="https://et.wikipedia.org/wiki/Rahvusvaheline_Kaitseuuringute_Keskus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6C644-7FEA-4119-BB74-5BC0BECC31FA}">
  <sheetPr>
    <pageSetUpPr fitToPage="1"/>
  </sheetPr>
  <dimension ref="A1:V91"/>
  <sheetViews>
    <sheetView tabSelected="1" topLeftCell="D1" zoomScaleNormal="100" workbookViewId="0">
      <selection activeCell="J4" sqref="J4"/>
    </sheetView>
  </sheetViews>
  <sheetFormatPr defaultRowHeight="14.5" outlineLevelCol="1" x14ac:dyDescent="0.35"/>
  <cols>
    <col min="1" max="1" width="30.54296875" customWidth="1"/>
    <col min="2" max="2" width="26.453125" style="41" hidden="1" customWidth="1" outlineLevel="1"/>
    <col min="3" max="3" width="10.453125" customWidth="1" collapsed="1"/>
    <col min="4" max="4" width="24.26953125" style="7" customWidth="1"/>
    <col min="5" max="5" width="24.26953125" style="7" hidden="1" customWidth="1" outlineLevel="1"/>
    <col min="6" max="6" width="39.1796875" style="7" hidden="1" customWidth="1" outlineLevel="1"/>
    <col min="7" max="7" width="9.7265625" bestFit="1" customWidth="1" collapsed="1"/>
    <col min="8" max="8" width="9.453125" customWidth="1"/>
    <col min="9" max="9" width="21.453125" customWidth="1"/>
    <col min="10" max="10" width="32.81640625" customWidth="1"/>
    <col min="11" max="11" width="13.7265625" hidden="1" customWidth="1" outlineLevel="1"/>
    <col min="12" max="12" width="12" hidden="1" customWidth="1" outlineLevel="1"/>
    <col min="13" max="13" width="14.1796875" style="11" hidden="1" customWidth="1" outlineLevel="1"/>
    <col min="14" max="14" width="11.81640625" style="11" hidden="1" customWidth="1" outlineLevel="1"/>
    <col min="15" max="15" width="12.7265625" hidden="1" customWidth="1" outlineLevel="1"/>
    <col min="16" max="16" width="12.1796875" hidden="1" customWidth="1" outlineLevel="1"/>
    <col min="17" max="17" width="11.453125" hidden="1" customWidth="1" outlineLevel="1"/>
    <col min="18" max="18" width="11" hidden="1" customWidth="1" outlineLevel="1"/>
    <col min="19" max="19" width="11.1796875" customWidth="1" collapsed="1"/>
    <col min="20" max="20" width="10.26953125" customWidth="1"/>
    <col min="21" max="21" width="10.453125" customWidth="1"/>
    <col min="22" max="22" width="11.90625" customWidth="1"/>
  </cols>
  <sheetData>
    <row r="1" spans="1:22" s="1" customFormat="1" ht="13" x14ac:dyDescent="0.3">
      <c r="B1" s="41"/>
      <c r="D1" s="2"/>
      <c r="E1" s="2"/>
      <c r="F1" s="2"/>
      <c r="T1" s="3"/>
      <c r="V1" s="3" t="s">
        <v>0</v>
      </c>
    </row>
    <row r="2" spans="1:22" s="27" customFormat="1" ht="13" x14ac:dyDescent="0.35">
      <c r="B2" s="117"/>
      <c r="D2" s="127"/>
      <c r="E2" s="127"/>
      <c r="F2" s="127"/>
      <c r="J2" s="136" t="s">
        <v>188</v>
      </c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</row>
    <row r="3" spans="1:22" s="27" customFormat="1" ht="13" x14ac:dyDescent="0.35">
      <c r="B3" s="117"/>
      <c r="D3" s="127"/>
      <c r="E3" s="127"/>
      <c r="F3" s="127"/>
      <c r="I3" s="12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</row>
    <row r="4" spans="1:22" s="1" customFormat="1" ht="13" x14ac:dyDescent="0.3">
      <c r="B4" s="41"/>
      <c r="D4" s="2"/>
      <c r="E4" s="2"/>
      <c r="F4" s="2"/>
      <c r="M4" s="4"/>
      <c r="N4" s="4"/>
    </row>
    <row r="5" spans="1:22" s="27" customFormat="1" ht="13" x14ac:dyDescent="0.35">
      <c r="A5" s="142" t="s">
        <v>1</v>
      </c>
      <c r="B5" s="143"/>
      <c r="C5" s="143"/>
      <c r="D5" s="143"/>
      <c r="E5" s="143"/>
      <c r="F5" s="143"/>
      <c r="G5" s="143"/>
      <c r="M5" s="67"/>
      <c r="N5" s="67"/>
    </row>
    <row r="6" spans="1:22" s="24" customFormat="1" ht="14.25" customHeight="1" x14ac:dyDescent="0.35">
      <c r="A6" s="143"/>
      <c r="B6" s="143"/>
      <c r="C6" s="143"/>
      <c r="D6" s="143"/>
      <c r="E6" s="143"/>
      <c r="F6" s="143"/>
      <c r="G6" s="143"/>
      <c r="J6" s="68"/>
      <c r="K6" s="69"/>
      <c r="L6" s="69"/>
      <c r="M6" s="69"/>
      <c r="N6" s="69"/>
    </row>
    <row r="7" spans="1:22" x14ac:dyDescent="0.35">
      <c r="J7" s="5" t="s">
        <v>2</v>
      </c>
      <c r="K7" s="6">
        <f t="shared" ref="K7:V7" si="0">SUMIF($C$17:$C$90,"IYDA*",K$17:K$90)</f>
        <v>-4907245.0009599999</v>
      </c>
      <c r="L7" s="6">
        <f t="shared" si="0"/>
        <v>127541</v>
      </c>
      <c r="M7" s="6">
        <f t="shared" si="0"/>
        <v>-4779704.0009599999</v>
      </c>
      <c r="N7" s="6">
        <f t="shared" si="0"/>
        <v>-1283845</v>
      </c>
      <c r="O7" s="6">
        <f t="shared" si="0"/>
        <v>0</v>
      </c>
      <c r="P7" s="6">
        <f t="shared" si="0"/>
        <v>-216211</v>
      </c>
      <c r="Q7" s="6">
        <f t="shared" si="0"/>
        <v>183869.0001</v>
      </c>
      <c r="R7" s="6">
        <f t="shared" si="0"/>
        <v>-95000</v>
      </c>
      <c r="S7" s="6">
        <f t="shared" si="0"/>
        <v>-6190891.00086</v>
      </c>
      <c r="T7" s="6">
        <f t="shared" si="0"/>
        <v>0</v>
      </c>
      <c r="U7" s="6">
        <f t="shared" si="0"/>
        <v>300000</v>
      </c>
      <c r="V7" s="6">
        <f t="shared" si="0"/>
        <v>-5890891.00086</v>
      </c>
    </row>
    <row r="8" spans="1:22" x14ac:dyDescent="0.35">
      <c r="J8" s="5" t="s">
        <v>3</v>
      </c>
      <c r="K8" s="6">
        <f t="shared" ref="K8:V8" si="1">SUMIF($C$17:$C$90,"TI02*",K$17:K$90)</f>
        <v>-65234513.100550398</v>
      </c>
      <c r="L8" s="6">
        <f t="shared" si="1"/>
        <v>-387000</v>
      </c>
      <c r="M8" s="6">
        <f t="shared" si="1"/>
        <v>-65621513.100550398</v>
      </c>
      <c r="N8" s="6">
        <f t="shared" si="1"/>
        <v>0</v>
      </c>
      <c r="O8" s="6">
        <f t="shared" si="1"/>
        <v>0</v>
      </c>
      <c r="P8" s="6">
        <f t="shared" si="1"/>
        <v>-33012896</v>
      </c>
      <c r="Q8" s="6">
        <f t="shared" si="1"/>
        <v>3014924</v>
      </c>
      <c r="R8" s="6">
        <f t="shared" si="1"/>
        <v>0</v>
      </c>
      <c r="S8" s="6">
        <f t="shared" si="1"/>
        <v>-95619485.100550398</v>
      </c>
      <c r="T8" s="6">
        <f t="shared" si="1"/>
        <v>0</v>
      </c>
      <c r="U8" s="6">
        <f t="shared" si="1"/>
        <v>24214580.000100002</v>
      </c>
      <c r="V8" s="6">
        <f t="shared" si="1"/>
        <v>-71404905.100450397</v>
      </c>
    </row>
    <row r="9" spans="1:22" x14ac:dyDescent="0.35">
      <c r="D9" s="1"/>
      <c r="E9" s="1"/>
      <c r="F9" s="1"/>
      <c r="J9" s="5" t="s">
        <v>4</v>
      </c>
      <c r="K9" s="6">
        <f t="shared" ref="K9:V9" si="2">SUMIF($C$17:$C$90,"TIEK*",K$17:K$90)</f>
        <v>-37437769.201150797</v>
      </c>
      <c r="L9" s="6">
        <f t="shared" si="2"/>
        <v>407000</v>
      </c>
      <c r="M9" s="6">
        <f t="shared" si="2"/>
        <v>-37030769.201150797</v>
      </c>
      <c r="N9" s="6">
        <f t="shared" si="2"/>
        <v>-2538000</v>
      </c>
      <c r="O9" s="6">
        <f t="shared" si="2"/>
        <v>1000000</v>
      </c>
      <c r="P9" s="6">
        <f t="shared" si="2"/>
        <v>-14136212.54405782</v>
      </c>
      <c r="Q9" s="6">
        <f t="shared" si="2"/>
        <v>5794000</v>
      </c>
      <c r="R9" s="6">
        <f t="shared" si="2"/>
        <v>100000</v>
      </c>
      <c r="S9" s="6">
        <f t="shared" si="2"/>
        <v>-46810981.745208621</v>
      </c>
      <c r="T9" s="6">
        <f t="shared" si="2"/>
        <v>-28000</v>
      </c>
      <c r="U9" s="6">
        <f t="shared" si="2"/>
        <v>0</v>
      </c>
      <c r="V9" s="6">
        <f t="shared" si="2"/>
        <v>-46838981.745208621</v>
      </c>
    </row>
    <row r="10" spans="1:22" x14ac:dyDescent="0.35">
      <c r="I10" s="138" t="s">
        <v>5</v>
      </c>
      <c r="J10" s="138"/>
      <c r="K10" s="6">
        <f t="shared" ref="K10:V10" si="3">SUMIF($C$17:$C$90,"HE01*",K$17:K$90)</f>
        <v>-18000</v>
      </c>
      <c r="L10" s="6">
        <f t="shared" si="3"/>
        <v>0</v>
      </c>
      <c r="M10" s="6">
        <f t="shared" si="3"/>
        <v>-18000</v>
      </c>
      <c r="N10" s="6">
        <f t="shared" si="3"/>
        <v>0</v>
      </c>
      <c r="O10" s="6">
        <f t="shared" si="3"/>
        <v>0</v>
      </c>
      <c r="P10" s="6">
        <f t="shared" si="3"/>
        <v>0</v>
      </c>
      <c r="Q10" s="6">
        <f t="shared" si="3"/>
        <v>0</v>
      </c>
      <c r="R10" s="6">
        <f t="shared" si="3"/>
        <v>0</v>
      </c>
      <c r="S10" s="6">
        <f t="shared" si="3"/>
        <v>-18000</v>
      </c>
      <c r="T10" s="6">
        <f t="shared" si="3"/>
        <v>0</v>
      </c>
      <c r="U10" s="6">
        <f t="shared" si="3"/>
        <v>0</v>
      </c>
      <c r="V10" s="6">
        <f t="shared" si="3"/>
        <v>-18000</v>
      </c>
    </row>
    <row r="11" spans="1:22" x14ac:dyDescent="0.35">
      <c r="I11" s="5"/>
      <c r="J11" s="58" t="s">
        <v>6</v>
      </c>
      <c r="K11" s="6">
        <f t="shared" ref="K11:V11" si="4">SUMIF($C$17:$C$90,"HE09*",K$17:K$90)</f>
        <v>-500000</v>
      </c>
      <c r="L11" s="6">
        <f t="shared" si="4"/>
        <v>0</v>
      </c>
      <c r="M11" s="6">
        <f t="shared" si="4"/>
        <v>-500000</v>
      </c>
      <c r="N11" s="6">
        <f t="shared" si="4"/>
        <v>0</v>
      </c>
      <c r="O11" s="6">
        <f t="shared" si="4"/>
        <v>0</v>
      </c>
      <c r="P11" s="6">
        <f t="shared" si="4"/>
        <v>0</v>
      </c>
      <c r="Q11" s="6">
        <f t="shared" si="4"/>
        <v>0</v>
      </c>
      <c r="R11" s="6">
        <f t="shared" si="4"/>
        <v>0</v>
      </c>
      <c r="S11" s="6">
        <f t="shared" si="4"/>
        <v>-500000</v>
      </c>
      <c r="T11" s="6">
        <f t="shared" si="4"/>
        <v>0</v>
      </c>
      <c r="U11" s="6">
        <f t="shared" si="4"/>
        <v>0</v>
      </c>
      <c r="V11" s="6">
        <f t="shared" si="4"/>
        <v>-500000</v>
      </c>
    </row>
    <row r="12" spans="1:22" x14ac:dyDescent="0.35">
      <c r="J12" s="8" t="s">
        <v>7</v>
      </c>
      <c r="K12" s="9">
        <f>SUM(K7:K11)</f>
        <v>-108097527.30266121</v>
      </c>
      <c r="L12" s="9">
        <f t="shared" ref="L12:M12" si="5">SUM(L7:L11)</f>
        <v>147541</v>
      </c>
      <c r="M12" s="9">
        <f t="shared" si="5"/>
        <v>-107949986.30266121</v>
      </c>
      <c r="N12" s="9">
        <f t="shared" ref="N12" si="6">SUM(N7:N11)</f>
        <v>-3821845</v>
      </c>
      <c r="O12" s="9">
        <f t="shared" ref="O12:S12" si="7">SUM(O7:O11)</f>
        <v>1000000</v>
      </c>
      <c r="P12" s="9">
        <f t="shared" si="7"/>
        <v>-47365319.544057816</v>
      </c>
      <c r="Q12" s="9">
        <f t="shared" si="7"/>
        <v>8992793.0000999998</v>
      </c>
      <c r="R12" s="9">
        <f t="shared" si="7"/>
        <v>5000</v>
      </c>
      <c r="S12" s="9">
        <f t="shared" si="7"/>
        <v>-149139357.84661901</v>
      </c>
      <c r="T12" s="9">
        <f t="shared" ref="T12" si="8">SUM(T7:T11)</f>
        <v>-28000</v>
      </c>
      <c r="U12" s="9">
        <f t="shared" ref="U12:V12" si="9">SUM(U7:U11)</f>
        <v>24514580.000100002</v>
      </c>
      <c r="V12" s="9">
        <f t="shared" si="9"/>
        <v>-124652777.84651902</v>
      </c>
    </row>
    <row r="13" spans="1:22" s="24" customFormat="1" ht="66.650000000000006" customHeight="1" x14ac:dyDescent="0.35">
      <c r="A13" s="25" t="s">
        <v>8</v>
      </c>
      <c r="B13" s="42"/>
      <c r="C13" s="25" t="s">
        <v>9</v>
      </c>
      <c r="D13" s="25" t="s">
        <v>10</v>
      </c>
      <c r="E13" s="25" t="s">
        <v>11</v>
      </c>
      <c r="F13" s="25" t="s">
        <v>12</v>
      </c>
      <c r="G13" s="26" t="s">
        <v>13</v>
      </c>
      <c r="H13" s="25" t="s">
        <v>14</v>
      </c>
      <c r="I13" s="25" t="s">
        <v>15</v>
      </c>
      <c r="J13" s="25" t="s">
        <v>16</v>
      </c>
      <c r="K13" s="25" t="s">
        <v>17</v>
      </c>
      <c r="L13" s="16" t="s">
        <v>18</v>
      </c>
      <c r="M13" s="79" t="s">
        <v>19</v>
      </c>
      <c r="N13" s="79" t="s">
        <v>20</v>
      </c>
      <c r="O13" s="80" t="s">
        <v>21</v>
      </c>
      <c r="P13" s="79" t="s">
        <v>22</v>
      </c>
      <c r="Q13" s="81" t="s">
        <v>23</v>
      </c>
      <c r="R13" s="16" t="s">
        <v>18</v>
      </c>
      <c r="S13" s="79" t="s">
        <v>183</v>
      </c>
      <c r="T13" s="16" t="s">
        <v>18</v>
      </c>
      <c r="U13" s="80" t="s">
        <v>187</v>
      </c>
      <c r="V13" s="79" t="s">
        <v>24</v>
      </c>
    </row>
    <row r="14" spans="1:22" s="24" customFormat="1" ht="39" x14ac:dyDescent="0.35">
      <c r="A14" s="17"/>
      <c r="B14" s="44"/>
      <c r="D14" s="32"/>
      <c r="E14" s="32"/>
      <c r="F14" s="32"/>
      <c r="G14" s="33"/>
      <c r="H14" s="17"/>
      <c r="I14" s="20"/>
      <c r="J14" s="21" t="s">
        <v>25</v>
      </c>
      <c r="K14" s="34" t="s">
        <v>26</v>
      </c>
      <c r="L14" s="53" t="s">
        <v>27</v>
      </c>
      <c r="M14" s="23"/>
      <c r="N14" s="53" t="s">
        <v>28</v>
      </c>
      <c r="O14" s="82" t="s">
        <v>29</v>
      </c>
      <c r="P14" s="34" t="s">
        <v>28</v>
      </c>
      <c r="Q14" s="83" t="s">
        <v>30</v>
      </c>
      <c r="R14" s="53" t="s">
        <v>27</v>
      </c>
      <c r="S14" s="23"/>
      <c r="T14" s="53" t="s">
        <v>27</v>
      </c>
      <c r="U14" s="83" t="s">
        <v>29</v>
      </c>
      <c r="V14" s="17"/>
    </row>
    <row r="15" spans="1:22" s="24" customFormat="1" ht="26" x14ac:dyDescent="0.25">
      <c r="A15" s="17"/>
      <c r="B15" s="45"/>
      <c r="C15" s="17" t="s">
        <v>31</v>
      </c>
      <c r="D15" s="18" t="s">
        <v>31</v>
      </c>
      <c r="E15" s="18"/>
      <c r="F15" s="18"/>
      <c r="G15" s="19" t="s">
        <v>31</v>
      </c>
      <c r="H15" s="17"/>
      <c r="I15" s="20"/>
      <c r="J15" s="21" t="s">
        <v>32</v>
      </c>
      <c r="K15" s="22">
        <v>2024</v>
      </c>
      <c r="L15" s="54" t="s">
        <v>33</v>
      </c>
      <c r="M15" s="23"/>
      <c r="N15" s="54" t="s">
        <v>33</v>
      </c>
      <c r="O15" s="22" t="s">
        <v>34</v>
      </c>
      <c r="P15" s="54" t="s">
        <v>35</v>
      </c>
      <c r="Q15" s="54" t="s">
        <v>36</v>
      </c>
      <c r="R15" s="54" t="s">
        <v>37</v>
      </c>
      <c r="S15" s="17"/>
      <c r="T15" s="54" t="s">
        <v>185</v>
      </c>
      <c r="U15" s="130" t="s">
        <v>184</v>
      </c>
      <c r="V15" s="17"/>
    </row>
    <row r="16" spans="1:22" s="27" customFormat="1" ht="13" x14ac:dyDescent="0.35">
      <c r="A16" s="89"/>
      <c r="B16" s="90"/>
      <c r="C16" s="50"/>
      <c r="D16" s="51"/>
      <c r="E16" s="51"/>
      <c r="F16" s="51"/>
      <c r="G16" s="50"/>
      <c r="H16" s="50"/>
      <c r="I16" s="50"/>
      <c r="J16" s="50"/>
      <c r="K16" s="91">
        <f t="shared" ref="K16:V16" si="10">SUBTOTAL(9,K17:K90)</f>
        <v>-108097527.30266118</v>
      </c>
      <c r="L16" s="91">
        <f t="shared" si="10"/>
        <v>147541</v>
      </c>
      <c r="M16" s="91">
        <f t="shared" si="10"/>
        <v>-107949986.30266118</v>
      </c>
      <c r="N16" s="91">
        <f t="shared" si="10"/>
        <v>-3821845</v>
      </c>
      <c r="O16" s="91">
        <f t="shared" si="10"/>
        <v>1000000</v>
      </c>
      <c r="P16" s="91">
        <f t="shared" si="10"/>
        <v>-47365319.544057824</v>
      </c>
      <c r="Q16" s="91">
        <f t="shared" si="10"/>
        <v>8992793.0000999998</v>
      </c>
      <c r="R16" s="91">
        <f t="shared" si="10"/>
        <v>5000</v>
      </c>
      <c r="S16" s="134">
        <f t="shared" si="10"/>
        <v>-149139357.84661901</v>
      </c>
      <c r="T16" s="134">
        <f t="shared" si="10"/>
        <v>-28000</v>
      </c>
      <c r="U16" s="134">
        <f t="shared" si="10"/>
        <v>24514580.000100002</v>
      </c>
      <c r="V16" s="134">
        <f t="shared" si="10"/>
        <v>-124652777.84651899</v>
      </c>
    </row>
    <row r="17" spans="1:22" s="28" customFormat="1" ht="26" x14ac:dyDescent="0.35">
      <c r="A17" s="31" t="s">
        <v>38</v>
      </c>
      <c r="B17" s="43" t="s">
        <v>39</v>
      </c>
      <c r="C17" s="13" t="s">
        <v>40</v>
      </c>
      <c r="D17" s="12" t="s">
        <v>41</v>
      </c>
      <c r="E17" s="12" t="s">
        <v>42</v>
      </c>
      <c r="F17" s="12" t="s">
        <v>43</v>
      </c>
      <c r="G17" s="13" t="s">
        <v>44</v>
      </c>
      <c r="H17" s="13"/>
      <c r="I17" s="13"/>
      <c r="J17" s="12" t="s">
        <v>45</v>
      </c>
      <c r="K17" s="14">
        <f>-5200000+2500000</f>
        <v>-2700000</v>
      </c>
      <c r="L17" s="14">
        <v>150000</v>
      </c>
      <c r="M17" s="14">
        <f>+K17+L17</f>
        <v>-2550000</v>
      </c>
      <c r="N17" s="14"/>
      <c r="O17" s="47"/>
      <c r="P17" s="14">
        <v>-4748011.5440678205</v>
      </c>
      <c r="Q17" s="14">
        <v>89000</v>
      </c>
      <c r="R17" s="47"/>
      <c r="S17" s="14">
        <f>+M17+N17+O17+P17+Q17+R17</f>
        <v>-7209011.5440678205</v>
      </c>
      <c r="T17" s="14"/>
      <c r="U17" s="37"/>
      <c r="V17" s="14">
        <f>+S17+T17+U17</f>
        <v>-7209011.5440678205</v>
      </c>
    </row>
    <row r="18" spans="1:22" s="27" customFormat="1" ht="26" x14ac:dyDescent="0.35">
      <c r="A18" s="92"/>
      <c r="B18" s="43" t="s">
        <v>39</v>
      </c>
      <c r="C18" s="13" t="s">
        <v>40</v>
      </c>
      <c r="D18" s="12" t="s">
        <v>41</v>
      </c>
      <c r="E18" s="12" t="s">
        <v>42</v>
      </c>
      <c r="F18" s="12" t="s">
        <v>43</v>
      </c>
      <c r="G18" s="13" t="s">
        <v>44</v>
      </c>
      <c r="H18" s="13"/>
      <c r="I18" s="13"/>
      <c r="J18" s="12" t="s">
        <v>46</v>
      </c>
      <c r="K18" s="14">
        <v>-849999.99999000027</v>
      </c>
      <c r="L18" s="14">
        <f>-150000+20000</f>
        <v>-130000</v>
      </c>
      <c r="M18" s="14">
        <f t="shared" ref="M18:M89" si="11">+K18+L18</f>
        <v>-979999.99999000027</v>
      </c>
      <c r="N18" s="14"/>
      <c r="O18" s="14"/>
      <c r="P18" s="14"/>
      <c r="Q18" s="14"/>
      <c r="R18" s="14"/>
      <c r="S18" s="14">
        <f t="shared" ref="S18:S89" si="12">+M18+N18+O18+P18+Q18+R18</f>
        <v>-979999.99999000027</v>
      </c>
      <c r="T18" s="14"/>
      <c r="U18" s="13"/>
      <c r="V18" s="14">
        <f t="shared" ref="V18:V82" si="13">+S18+T18+U18</f>
        <v>-979999.99999000027</v>
      </c>
    </row>
    <row r="19" spans="1:22" s="28" customFormat="1" ht="13" x14ac:dyDescent="0.35">
      <c r="A19" s="93" t="s">
        <v>47</v>
      </c>
      <c r="B19" s="90"/>
      <c r="C19" s="50"/>
      <c r="D19" s="51"/>
      <c r="E19" s="51"/>
      <c r="F19" s="51"/>
      <c r="G19" s="50"/>
      <c r="H19" s="50"/>
      <c r="I19" s="50"/>
      <c r="J19" s="50"/>
      <c r="K19" s="52">
        <f>+SUBTOTAL(9, K17:K18)</f>
        <v>-3549999.9999900004</v>
      </c>
      <c r="L19" s="52">
        <f>+SUBTOTAL(9, L17:L18)</f>
        <v>20000</v>
      </c>
      <c r="M19" s="52">
        <f>+SUBTOTAL(9, M17:M18)</f>
        <v>-3529999.9999900004</v>
      </c>
      <c r="N19" s="52">
        <f t="shared" ref="N19:V19" si="14">+SUBTOTAL(9, N17:N18)</f>
        <v>0</v>
      </c>
      <c r="O19" s="52">
        <f t="shared" si="14"/>
        <v>0</v>
      </c>
      <c r="P19" s="52">
        <f t="shared" si="14"/>
        <v>-4748011.5440678205</v>
      </c>
      <c r="Q19" s="52">
        <f t="shared" si="14"/>
        <v>89000</v>
      </c>
      <c r="R19" s="52">
        <f t="shared" si="14"/>
        <v>0</v>
      </c>
      <c r="S19" s="52">
        <f t="shared" si="14"/>
        <v>-8189011.5440578209</v>
      </c>
      <c r="T19" s="52">
        <f t="shared" si="14"/>
        <v>0</v>
      </c>
      <c r="U19" s="52">
        <f t="shared" si="14"/>
        <v>0</v>
      </c>
      <c r="V19" s="52">
        <f t="shared" si="14"/>
        <v>-8189011.5440578209</v>
      </c>
    </row>
    <row r="20" spans="1:22" s="27" customFormat="1" ht="26" x14ac:dyDescent="0.35">
      <c r="A20" s="135" t="s">
        <v>48</v>
      </c>
      <c r="B20" s="71" t="s">
        <v>49</v>
      </c>
      <c r="C20" s="13" t="s">
        <v>50</v>
      </c>
      <c r="D20" s="12" t="s">
        <v>51</v>
      </c>
      <c r="E20" s="12" t="s">
        <v>52</v>
      </c>
      <c r="F20" s="12" t="s">
        <v>53</v>
      </c>
      <c r="G20" s="13" t="s">
        <v>44</v>
      </c>
      <c r="H20" s="13" t="s">
        <v>54</v>
      </c>
      <c r="I20" s="13" t="s">
        <v>55</v>
      </c>
      <c r="J20" s="13" t="s">
        <v>56</v>
      </c>
      <c r="K20" s="14">
        <v>-594527.99999000004</v>
      </c>
      <c r="L20" s="14">
        <f>500000-25000</f>
        <v>475000</v>
      </c>
      <c r="M20" s="14">
        <f t="shared" si="11"/>
        <v>-119527.99999000004</v>
      </c>
      <c r="N20" s="14">
        <v>-550000</v>
      </c>
      <c r="O20" s="14"/>
      <c r="P20" s="14"/>
      <c r="Q20" s="14"/>
      <c r="R20" s="14"/>
      <c r="S20" s="14">
        <f>+M20+N20+O20+P20+Q20+R20</f>
        <v>-669527.99999000004</v>
      </c>
      <c r="T20" s="14"/>
      <c r="U20" s="13"/>
      <c r="V20" s="14">
        <f t="shared" si="13"/>
        <v>-669527.99999000004</v>
      </c>
    </row>
    <row r="21" spans="1:22" s="27" customFormat="1" ht="26" x14ac:dyDescent="0.35">
      <c r="A21" s="13"/>
      <c r="B21" s="44" t="s">
        <v>49</v>
      </c>
      <c r="C21" s="13" t="s">
        <v>50</v>
      </c>
      <c r="D21" s="12" t="s">
        <v>51</v>
      </c>
      <c r="E21" s="12" t="s">
        <v>52</v>
      </c>
      <c r="F21" s="12" t="s">
        <v>53</v>
      </c>
      <c r="G21" s="13" t="s">
        <v>44</v>
      </c>
      <c r="H21" s="13"/>
      <c r="I21" s="13"/>
      <c r="J21" s="12" t="s">
        <v>57</v>
      </c>
      <c r="K21" s="14">
        <v>-2993717.0009699999</v>
      </c>
      <c r="L21" s="14">
        <v>-186360</v>
      </c>
      <c r="M21" s="14">
        <f t="shared" si="11"/>
        <v>-3180077.0009699999</v>
      </c>
      <c r="N21" s="14"/>
      <c r="O21" s="14"/>
      <c r="P21" s="14">
        <v>-245994</v>
      </c>
      <c r="Q21" s="14">
        <v>71100</v>
      </c>
      <c r="R21" s="14"/>
      <c r="S21" s="14">
        <f>+M21+N21+O21+P21+Q21+R21</f>
        <v>-3354971.0009699999</v>
      </c>
      <c r="T21" s="14"/>
      <c r="U21" s="13"/>
      <c r="V21" s="14">
        <f t="shared" si="13"/>
        <v>-3354971.0009699999</v>
      </c>
    </row>
    <row r="22" spans="1:22" s="27" customFormat="1" ht="26" x14ac:dyDescent="0.35">
      <c r="A22" s="13"/>
      <c r="B22" s="44"/>
      <c r="C22" s="13" t="s">
        <v>50</v>
      </c>
      <c r="D22" s="12" t="s">
        <v>51</v>
      </c>
      <c r="E22" s="12" t="s">
        <v>52</v>
      </c>
      <c r="F22" s="12" t="s">
        <v>53</v>
      </c>
      <c r="G22" s="13" t="s">
        <v>44</v>
      </c>
      <c r="H22" s="13" t="s">
        <v>58</v>
      </c>
      <c r="I22" s="13" t="s">
        <v>59</v>
      </c>
      <c r="J22" s="12" t="s">
        <v>46</v>
      </c>
      <c r="K22" s="14"/>
      <c r="L22" s="14"/>
      <c r="M22" s="14">
        <f t="shared" si="11"/>
        <v>0</v>
      </c>
      <c r="N22" s="14">
        <v>-433845</v>
      </c>
      <c r="O22" s="14"/>
      <c r="P22" s="14">
        <v>258656</v>
      </c>
      <c r="Q22" s="14"/>
      <c r="R22" s="14"/>
      <c r="S22" s="14">
        <f t="shared" ref="S22:S23" si="15">+M22+N22+O22+P22+Q22+R22</f>
        <v>-175189</v>
      </c>
      <c r="T22" s="14"/>
      <c r="U22" s="13"/>
      <c r="V22" s="14">
        <f t="shared" si="13"/>
        <v>-175189</v>
      </c>
    </row>
    <row r="23" spans="1:22" s="27" customFormat="1" ht="26" x14ac:dyDescent="0.35">
      <c r="A23" s="13"/>
      <c r="B23" s="44"/>
      <c r="C23" s="13" t="s">
        <v>50</v>
      </c>
      <c r="D23" s="12" t="s">
        <v>51</v>
      </c>
      <c r="E23" s="12" t="s">
        <v>52</v>
      </c>
      <c r="F23" s="12" t="s">
        <v>53</v>
      </c>
      <c r="G23" s="13" t="s">
        <v>44</v>
      </c>
      <c r="H23" s="13" t="s">
        <v>58</v>
      </c>
      <c r="I23" s="13" t="s">
        <v>59</v>
      </c>
      <c r="J23" s="13" t="s">
        <v>56</v>
      </c>
      <c r="K23" s="14"/>
      <c r="L23" s="14"/>
      <c r="M23" s="14">
        <f t="shared" si="11"/>
        <v>0</v>
      </c>
      <c r="O23" s="14"/>
      <c r="P23" s="14">
        <v>-228873</v>
      </c>
      <c r="Q23" s="14"/>
      <c r="R23" s="14"/>
      <c r="S23" s="14">
        <f t="shared" si="15"/>
        <v>-228873</v>
      </c>
      <c r="T23" s="14"/>
      <c r="U23" s="13"/>
      <c r="V23" s="14">
        <f t="shared" si="13"/>
        <v>-228873</v>
      </c>
    </row>
    <row r="24" spans="1:22" s="28" customFormat="1" ht="13" x14ac:dyDescent="0.35">
      <c r="A24" s="139" t="s">
        <v>60</v>
      </c>
      <c r="B24" s="139"/>
      <c r="C24" s="139"/>
      <c r="D24" s="51"/>
      <c r="E24" s="51"/>
      <c r="F24" s="51"/>
      <c r="G24" s="50"/>
      <c r="H24" s="50"/>
      <c r="I24" s="50"/>
      <c r="J24" s="50"/>
      <c r="K24" s="52">
        <f>+SUBTOTAL(9, K20:K21)</f>
        <v>-3588245.0009599999</v>
      </c>
      <c r="L24" s="52">
        <f t="shared" ref="L24" si="16">+SUBTOTAL(9, L20:L21)</f>
        <v>288640</v>
      </c>
      <c r="M24" s="52">
        <f>+SUBTOTAL(9, M20:M23)</f>
        <v>-3299605.0009599999</v>
      </c>
      <c r="N24" s="52">
        <f>+SUBTOTAL(9, N20:N22)</f>
        <v>-983845</v>
      </c>
      <c r="O24" s="52">
        <f t="shared" ref="O24:V24" si="17">+SUBTOTAL(9, O20:O23)</f>
        <v>0</v>
      </c>
      <c r="P24" s="52">
        <f t="shared" si="17"/>
        <v>-216211</v>
      </c>
      <c r="Q24" s="52">
        <f t="shared" si="17"/>
        <v>71100</v>
      </c>
      <c r="R24" s="52">
        <f t="shared" si="17"/>
        <v>0</v>
      </c>
      <c r="S24" s="52">
        <f t="shared" si="17"/>
        <v>-4428561.0009599999</v>
      </c>
      <c r="T24" s="52">
        <f t="shared" si="17"/>
        <v>0</v>
      </c>
      <c r="U24" s="52">
        <f t="shared" si="17"/>
        <v>0</v>
      </c>
      <c r="V24" s="52">
        <f t="shared" si="17"/>
        <v>-4428561.0009599999</v>
      </c>
    </row>
    <row r="25" spans="1:22" s="28" customFormat="1" ht="26" x14ac:dyDescent="0.35">
      <c r="A25" s="125" t="s">
        <v>61</v>
      </c>
      <c r="B25" s="121"/>
      <c r="C25" s="13" t="s">
        <v>50</v>
      </c>
      <c r="D25" s="12" t="s">
        <v>51</v>
      </c>
      <c r="E25" s="12" t="s">
        <v>52</v>
      </c>
      <c r="F25" s="12" t="s">
        <v>53</v>
      </c>
      <c r="G25" s="13" t="s">
        <v>44</v>
      </c>
      <c r="H25" s="128" t="s">
        <v>62</v>
      </c>
      <c r="I25" s="37"/>
      <c r="J25" s="12" t="s">
        <v>63</v>
      </c>
      <c r="K25" s="47"/>
      <c r="L25" s="47"/>
      <c r="M25" s="14">
        <v>0</v>
      </c>
      <c r="N25" s="14">
        <v>-300000</v>
      </c>
      <c r="O25" s="14"/>
      <c r="P25" s="14"/>
      <c r="Q25" s="14"/>
      <c r="R25" s="14"/>
      <c r="S25" s="14">
        <f>+M25++N25+O25+P25+Q25+R25</f>
        <v>-300000</v>
      </c>
      <c r="T25" s="14"/>
      <c r="U25" s="37"/>
      <c r="V25" s="14">
        <f t="shared" si="13"/>
        <v>-300000</v>
      </c>
    </row>
    <row r="26" spans="1:22" s="28" customFormat="1" ht="26" x14ac:dyDescent="0.35">
      <c r="A26" s="123"/>
      <c r="B26" s="121"/>
      <c r="C26" s="13" t="s">
        <v>64</v>
      </c>
      <c r="D26" s="12" t="s">
        <v>65</v>
      </c>
      <c r="E26" s="124"/>
      <c r="F26" s="124"/>
      <c r="G26" s="13" t="s">
        <v>44</v>
      </c>
      <c r="H26" s="37"/>
      <c r="I26" s="37"/>
      <c r="J26" s="12" t="s">
        <v>66</v>
      </c>
      <c r="K26" s="47"/>
      <c r="L26" s="47"/>
      <c r="M26" s="14">
        <v>0</v>
      </c>
      <c r="N26" s="14"/>
      <c r="O26" s="14"/>
      <c r="P26" s="14"/>
      <c r="Q26" s="14"/>
      <c r="R26" s="14">
        <v>-80000</v>
      </c>
      <c r="S26" s="14">
        <f>+M26++N26+O26+P26+Q26+R26</f>
        <v>-80000</v>
      </c>
      <c r="T26" s="14"/>
      <c r="U26" s="37"/>
      <c r="V26" s="14">
        <f t="shared" si="13"/>
        <v>-80000</v>
      </c>
    </row>
    <row r="27" spans="1:22" s="28" customFormat="1" ht="13" x14ac:dyDescent="0.35">
      <c r="A27" s="126" t="s">
        <v>67</v>
      </c>
      <c r="B27" s="120"/>
      <c r="C27" s="94"/>
      <c r="D27" s="51"/>
      <c r="E27" s="51"/>
      <c r="F27" s="51"/>
      <c r="G27" s="50"/>
      <c r="H27" s="50"/>
      <c r="I27" s="50"/>
      <c r="J27" s="50"/>
      <c r="K27" s="52"/>
      <c r="L27" s="52"/>
      <c r="M27" s="52">
        <f>+SUBTOTAL(9,M25:M26)</f>
        <v>0</v>
      </c>
      <c r="N27" s="52">
        <f t="shared" ref="N27:V27" si="18">+SUBTOTAL(9,N25:N26)</f>
        <v>-300000</v>
      </c>
      <c r="O27" s="52">
        <f t="shared" si="18"/>
        <v>0</v>
      </c>
      <c r="P27" s="52">
        <f t="shared" si="18"/>
        <v>0</v>
      </c>
      <c r="Q27" s="52">
        <f t="shared" si="18"/>
        <v>0</v>
      </c>
      <c r="R27" s="52">
        <f t="shared" si="18"/>
        <v>-80000</v>
      </c>
      <c r="S27" s="52">
        <f t="shared" si="18"/>
        <v>-380000</v>
      </c>
      <c r="T27" s="52">
        <f t="shared" si="18"/>
        <v>0</v>
      </c>
      <c r="U27" s="52">
        <f t="shared" si="18"/>
        <v>0</v>
      </c>
      <c r="V27" s="52">
        <f t="shared" si="18"/>
        <v>-380000</v>
      </c>
    </row>
    <row r="28" spans="1:22" s="28" customFormat="1" ht="26" x14ac:dyDescent="0.35">
      <c r="A28" s="13" t="s">
        <v>68</v>
      </c>
      <c r="B28" s="121"/>
      <c r="C28" s="13" t="s">
        <v>50</v>
      </c>
      <c r="D28" s="12" t="s">
        <v>51</v>
      </c>
      <c r="E28" s="12" t="s">
        <v>52</v>
      </c>
      <c r="F28" s="12" t="s">
        <v>53</v>
      </c>
      <c r="G28" s="13" t="s">
        <v>44</v>
      </c>
      <c r="H28" s="37"/>
      <c r="I28" s="37"/>
      <c r="J28" s="12" t="s">
        <v>69</v>
      </c>
      <c r="K28" s="47"/>
      <c r="L28" s="47"/>
      <c r="M28" s="47">
        <v>0</v>
      </c>
      <c r="N28" s="47"/>
      <c r="O28" s="47"/>
      <c r="P28" s="47"/>
      <c r="Q28" s="47"/>
      <c r="R28" s="14">
        <v>-15000</v>
      </c>
      <c r="S28" s="14">
        <f>+M28+N28+O28+P28+Q28+R28</f>
        <v>-15000</v>
      </c>
      <c r="T28" s="14"/>
      <c r="U28" s="37"/>
      <c r="V28" s="14">
        <f t="shared" si="13"/>
        <v>-15000</v>
      </c>
    </row>
    <row r="29" spans="1:22" s="28" customFormat="1" ht="13" x14ac:dyDescent="0.3">
      <c r="A29" s="122" t="s">
        <v>70</v>
      </c>
      <c r="B29" s="120"/>
      <c r="C29" s="94"/>
      <c r="D29" s="51"/>
      <c r="E29" s="51"/>
      <c r="F29" s="51"/>
      <c r="G29" s="50"/>
      <c r="H29" s="50"/>
      <c r="I29" s="50"/>
      <c r="J29" s="50"/>
      <c r="K29" s="52"/>
      <c r="L29" s="52"/>
      <c r="M29" s="52">
        <f>+SUBTOTAL(9,M28)</f>
        <v>0</v>
      </c>
      <c r="N29" s="52">
        <f t="shared" ref="N29:V29" si="19">+SUBTOTAL(9,N28)</f>
        <v>0</v>
      </c>
      <c r="O29" s="52">
        <f t="shared" si="19"/>
        <v>0</v>
      </c>
      <c r="P29" s="52">
        <f t="shared" si="19"/>
        <v>0</v>
      </c>
      <c r="Q29" s="52">
        <f t="shared" si="19"/>
        <v>0</v>
      </c>
      <c r="R29" s="52">
        <f t="shared" si="19"/>
        <v>-15000</v>
      </c>
      <c r="S29" s="52">
        <f t="shared" si="19"/>
        <v>-15000</v>
      </c>
      <c r="T29" s="52">
        <f t="shared" si="19"/>
        <v>0</v>
      </c>
      <c r="U29" s="52">
        <f t="shared" si="19"/>
        <v>0</v>
      </c>
      <c r="V29" s="52">
        <f t="shared" si="19"/>
        <v>-15000</v>
      </c>
    </row>
    <row r="30" spans="1:22" s="27" customFormat="1" ht="34.15" customHeight="1" x14ac:dyDescent="0.35">
      <c r="A30" s="38" t="s">
        <v>71</v>
      </c>
      <c r="B30" s="74" t="s">
        <v>72</v>
      </c>
      <c r="C30" s="13" t="s">
        <v>73</v>
      </c>
      <c r="D30" s="12" t="s">
        <v>74</v>
      </c>
      <c r="E30" s="12" t="s">
        <v>75</v>
      </c>
      <c r="F30" s="12" t="s">
        <v>76</v>
      </c>
      <c r="G30" s="13" t="s">
        <v>44</v>
      </c>
      <c r="H30" s="37"/>
      <c r="I30" s="37"/>
      <c r="J30" s="12" t="s">
        <v>77</v>
      </c>
      <c r="K30" s="14">
        <v>0</v>
      </c>
      <c r="L30" s="14">
        <v>-4000000</v>
      </c>
      <c r="M30" s="14">
        <f t="shared" si="11"/>
        <v>-4000000</v>
      </c>
      <c r="N30" s="14"/>
      <c r="O30" s="14"/>
      <c r="P30" s="14"/>
      <c r="Q30" s="14"/>
      <c r="R30" s="14"/>
      <c r="S30" s="14">
        <f t="shared" si="12"/>
        <v>-4000000</v>
      </c>
      <c r="T30" s="14"/>
      <c r="U30" s="13"/>
      <c r="V30" s="14">
        <f t="shared" si="13"/>
        <v>-4000000</v>
      </c>
    </row>
    <row r="31" spans="1:22" s="28" customFormat="1" ht="13" x14ac:dyDescent="0.35">
      <c r="A31" s="39" t="s">
        <v>78</v>
      </c>
      <c r="B31" s="95"/>
      <c r="C31" s="50"/>
      <c r="D31" s="51"/>
      <c r="E31" s="51"/>
      <c r="F31" s="51"/>
      <c r="G31" s="50"/>
      <c r="H31" s="50"/>
      <c r="I31" s="50"/>
      <c r="J31" s="50"/>
      <c r="K31" s="52">
        <f>+SUBTOTAL(9, K30)</f>
        <v>0</v>
      </c>
      <c r="L31" s="52">
        <f t="shared" ref="L31:M31" si="20">+SUBTOTAL(9, L30)</f>
        <v>-4000000</v>
      </c>
      <c r="M31" s="52">
        <f t="shared" si="20"/>
        <v>-4000000</v>
      </c>
      <c r="N31" s="52">
        <f t="shared" ref="N31" si="21">+SUBTOTAL(9, N30)</f>
        <v>0</v>
      </c>
      <c r="O31" s="52">
        <f t="shared" ref="O31" si="22">+SUBTOTAL(9, O30)</f>
        <v>0</v>
      </c>
      <c r="P31" s="52">
        <f t="shared" ref="P31" si="23">+SUBTOTAL(9, P30)</f>
        <v>0</v>
      </c>
      <c r="Q31" s="52">
        <f t="shared" ref="Q31" si="24">+SUBTOTAL(9, Q30)</f>
        <v>0</v>
      </c>
      <c r="R31" s="52">
        <f t="shared" ref="R31" si="25">+SUBTOTAL(9, R30)</f>
        <v>0</v>
      </c>
      <c r="S31" s="52">
        <f t="shared" ref="S31:V31" si="26">+SUBTOTAL(9, S30)</f>
        <v>-4000000</v>
      </c>
      <c r="T31" s="52">
        <f t="shared" si="26"/>
        <v>0</v>
      </c>
      <c r="U31" s="52">
        <f t="shared" si="26"/>
        <v>0</v>
      </c>
      <c r="V31" s="52">
        <f t="shared" si="26"/>
        <v>-4000000</v>
      </c>
    </row>
    <row r="32" spans="1:22" s="28" customFormat="1" ht="26" x14ac:dyDescent="0.35">
      <c r="A32" s="60" t="s">
        <v>79</v>
      </c>
      <c r="B32" s="75" t="s">
        <v>72</v>
      </c>
      <c r="C32" s="13" t="s">
        <v>73</v>
      </c>
      <c r="D32" s="12" t="s">
        <v>74</v>
      </c>
      <c r="E32" s="12" t="s">
        <v>75</v>
      </c>
      <c r="F32" s="12" t="s">
        <v>76</v>
      </c>
      <c r="G32" s="13" t="s">
        <v>44</v>
      </c>
      <c r="H32" s="37"/>
      <c r="I32" s="37"/>
      <c r="J32" s="12" t="s">
        <v>80</v>
      </c>
      <c r="K32" s="14">
        <v>0</v>
      </c>
      <c r="L32" s="14">
        <v>-2475000</v>
      </c>
      <c r="M32" s="14">
        <f t="shared" si="11"/>
        <v>-2475000</v>
      </c>
      <c r="N32" s="14"/>
      <c r="O32" s="47"/>
      <c r="P32" s="47"/>
      <c r="Q32" s="47"/>
      <c r="R32" s="47"/>
      <c r="S32" s="14">
        <f t="shared" si="12"/>
        <v>-2475000</v>
      </c>
      <c r="T32" s="14"/>
      <c r="U32" s="37"/>
      <c r="V32" s="14">
        <f t="shared" si="13"/>
        <v>-2475000</v>
      </c>
    </row>
    <row r="33" spans="1:22" s="28" customFormat="1" ht="13" x14ac:dyDescent="0.35">
      <c r="A33" s="59" t="s">
        <v>81</v>
      </c>
      <c r="B33" s="61"/>
      <c r="C33" s="62"/>
      <c r="D33" s="51"/>
      <c r="E33" s="51"/>
      <c r="F33" s="51"/>
      <c r="G33" s="50"/>
      <c r="H33" s="50"/>
      <c r="I33" s="50"/>
      <c r="J33" s="50"/>
      <c r="K33" s="52">
        <f>+SUBTOTAL(9,K32)</f>
        <v>0</v>
      </c>
      <c r="L33" s="52">
        <f t="shared" ref="L33:M33" si="27">+SUBTOTAL(9,L32)</f>
        <v>-2475000</v>
      </c>
      <c r="M33" s="52">
        <f t="shared" si="27"/>
        <v>-2475000</v>
      </c>
      <c r="N33" s="52">
        <f t="shared" ref="N33" si="28">+SUBTOTAL(9,N32)</f>
        <v>0</v>
      </c>
      <c r="O33" s="52">
        <f t="shared" ref="O33" si="29">+SUBTOTAL(9,O32)</f>
        <v>0</v>
      </c>
      <c r="P33" s="52">
        <f t="shared" ref="P33" si="30">+SUBTOTAL(9,P32)</f>
        <v>0</v>
      </c>
      <c r="Q33" s="52">
        <f t="shared" ref="Q33" si="31">+SUBTOTAL(9,Q32)</f>
        <v>0</v>
      </c>
      <c r="R33" s="52">
        <f t="shared" ref="R33" si="32">+SUBTOTAL(9,R32)</f>
        <v>0</v>
      </c>
      <c r="S33" s="52">
        <f t="shared" ref="S33:V33" si="33">+SUBTOTAL(9,S32)</f>
        <v>-2475000</v>
      </c>
      <c r="T33" s="52">
        <f t="shared" si="33"/>
        <v>0</v>
      </c>
      <c r="U33" s="52">
        <f t="shared" si="33"/>
        <v>0</v>
      </c>
      <c r="V33" s="52">
        <f t="shared" si="33"/>
        <v>-2475000</v>
      </c>
    </row>
    <row r="34" spans="1:22" s="27" customFormat="1" ht="29.5" customHeight="1" x14ac:dyDescent="0.35">
      <c r="A34" s="65" t="s">
        <v>82</v>
      </c>
      <c r="B34" s="76" t="s">
        <v>83</v>
      </c>
      <c r="C34" s="13" t="s">
        <v>73</v>
      </c>
      <c r="D34" s="12" t="s">
        <v>74</v>
      </c>
      <c r="E34" s="12" t="s">
        <v>75</v>
      </c>
      <c r="F34" s="12" t="s">
        <v>76</v>
      </c>
      <c r="G34" s="13" t="s">
        <v>44</v>
      </c>
      <c r="H34" s="13"/>
      <c r="I34" s="13"/>
      <c r="J34" s="29" t="s">
        <v>84</v>
      </c>
      <c r="K34" s="14">
        <v>0</v>
      </c>
      <c r="L34" s="14">
        <v>-950000</v>
      </c>
      <c r="M34" s="14">
        <f t="shared" si="11"/>
        <v>-950000</v>
      </c>
      <c r="N34" s="14"/>
      <c r="O34" s="14"/>
      <c r="P34" s="14">
        <v>-1253522</v>
      </c>
      <c r="Q34" s="14"/>
      <c r="R34" s="14"/>
      <c r="S34" s="14">
        <f t="shared" si="12"/>
        <v>-2203522</v>
      </c>
      <c r="T34" s="14"/>
      <c r="U34" s="13"/>
      <c r="V34" s="14">
        <f t="shared" si="13"/>
        <v>-2203522</v>
      </c>
    </row>
    <row r="35" spans="1:22" s="27" customFormat="1" ht="29.5" customHeight="1" x14ac:dyDescent="0.35">
      <c r="A35" s="38"/>
      <c r="B35" s="76" t="s">
        <v>85</v>
      </c>
      <c r="C35" s="13" t="s">
        <v>73</v>
      </c>
      <c r="D35" s="12" t="s">
        <v>74</v>
      </c>
      <c r="E35" s="12" t="s">
        <v>75</v>
      </c>
      <c r="F35" s="12" t="s">
        <v>76</v>
      </c>
      <c r="G35" s="13" t="s">
        <v>44</v>
      </c>
      <c r="H35" s="13"/>
      <c r="I35" s="13"/>
      <c r="J35" s="29" t="s">
        <v>86</v>
      </c>
      <c r="K35" s="14">
        <v>0</v>
      </c>
      <c r="L35" s="40">
        <v>-1400000</v>
      </c>
      <c r="M35" s="14">
        <f t="shared" si="11"/>
        <v>-1400000</v>
      </c>
      <c r="N35" s="14"/>
      <c r="O35" s="14"/>
      <c r="P35" s="14">
        <f>-2863535+145463</f>
        <v>-2718072</v>
      </c>
      <c r="Q35" s="14"/>
      <c r="R35" s="14"/>
      <c r="S35" s="14">
        <f t="shared" si="12"/>
        <v>-4118072</v>
      </c>
      <c r="T35" s="14"/>
      <c r="U35" s="13"/>
      <c r="V35" s="14">
        <f t="shared" si="13"/>
        <v>-4118072</v>
      </c>
    </row>
    <row r="36" spans="1:22" s="27" customFormat="1" ht="42" customHeight="1" x14ac:dyDescent="0.35">
      <c r="A36" s="38"/>
      <c r="B36" s="76" t="s">
        <v>87</v>
      </c>
      <c r="C36" s="13" t="s">
        <v>73</v>
      </c>
      <c r="D36" s="12" t="s">
        <v>74</v>
      </c>
      <c r="E36" s="12" t="s">
        <v>75</v>
      </c>
      <c r="F36" s="12" t="s">
        <v>76</v>
      </c>
      <c r="G36" s="13" t="s">
        <v>44</v>
      </c>
      <c r="H36" s="13"/>
      <c r="I36" s="13"/>
      <c r="J36" s="29" t="s">
        <v>88</v>
      </c>
      <c r="K36" s="14">
        <v>0</v>
      </c>
      <c r="L36" s="14">
        <v>-440000</v>
      </c>
      <c r="M36" s="14">
        <f t="shared" si="11"/>
        <v>-440000</v>
      </c>
      <c r="N36" s="14"/>
      <c r="O36" s="14"/>
      <c r="P36" s="14">
        <v>-456085</v>
      </c>
      <c r="Q36" s="14"/>
      <c r="R36" s="14"/>
      <c r="S36" s="14">
        <f t="shared" si="12"/>
        <v>-896085</v>
      </c>
      <c r="T36" s="14"/>
      <c r="U36" s="13"/>
      <c r="V36" s="14">
        <f t="shared" si="13"/>
        <v>-896085</v>
      </c>
    </row>
    <row r="37" spans="1:22" s="28" customFormat="1" ht="13" x14ac:dyDescent="0.35">
      <c r="A37" s="10" t="s">
        <v>89</v>
      </c>
      <c r="B37" s="95"/>
      <c r="C37" s="50"/>
      <c r="D37" s="51"/>
      <c r="E37" s="51"/>
      <c r="F37" s="51"/>
      <c r="G37" s="50"/>
      <c r="H37" s="50"/>
      <c r="I37" s="50"/>
      <c r="J37" s="50"/>
      <c r="K37" s="52">
        <f>+SUBTOTAL(9, K34:K36)</f>
        <v>0</v>
      </c>
      <c r="L37" s="52">
        <f t="shared" ref="L37:V37" si="34">+SUBTOTAL(9, L34:L36)</f>
        <v>-2790000</v>
      </c>
      <c r="M37" s="52">
        <f t="shared" si="34"/>
        <v>-2790000</v>
      </c>
      <c r="N37" s="52">
        <f t="shared" si="34"/>
        <v>0</v>
      </c>
      <c r="O37" s="52">
        <f t="shared" si="34"/>
        <v>0</v>
      </c>
      <c r="P37" s="52">
        <f t="shared" si="34"/>
        <v>-4427679</v>
      </c>
      <c r="Q37" s="52">
        <f t="shared" si="34"/>
        <v>0</v>
      </c>
      <c r="R37" s="52">
        <f t="shared" si="34"/>
        <v>0</v>
      </c>
      <c r="S37" s="52">
        <f t="shared" si="34"/>
        <v>-7217679</v>
      </c>
      <c r="T37" s="52">
        <f t="shared" si="34"/>
        <v>0</v>
      </c>
      <c r="U37" s="52">
        <f t="shared" si="34"/>
        <v>0</v>
      </c>
      <c r="V37" s="52">
        <f t="shared" si="34"/>
        <v>-7217679</v>
      </c>
    </row>
    <row r="38" spans="1:22" s="27" customFormat="1" ht="40.15" customHeight="1" x14ac:dyDescent="0.35">
      <c r="A38" s="13" t="s">
        <v>90</v>
      </c>
      <c r="B38" s="76" t="s">
        <v>91</v>
      </c>
      <c r="C38" s="13" t="s">
        <v>73</v>
      </c>
      <c r="D38" s="12" t="s">
        <v>74</v>
      </c>
      <c r="E38" s="12" t="s">
        <v>75</v>
      </c>
      <c r="F38" s="12" t="s">
        <v>76</v>
      </c>
      <c r="G38" s="13" t="s">
        <v>44</v>
      </c>
      <c r="H38" s="13"/>
      <c r="I38" s="13"/>
      <c r="J38" s="29" t="s">
        <v>88</v>
      </c>
      <c r="K38" s="14">
        <v>0</v>
      </c>
      <c r="L38" s="14">
        <v>-270000</v>
      </c>
      <c r="M38" s="14">
        <f t="shared" si="11"/>
        <v>-270000</v>
      </c>
      <c r="N38" s="14"/>
      <c r="O38" s="14"/>
      <c r="P38" s="14">
        <v>-151847</v>
      </c>
      <c r="Q38" s="14"/>
      <c r="R38" s="14"/>
      <c r="S38" s="14">
        <f t="shared" si="12"/>
        <v>-421847</v>
      </c>
      <c r="T38" s="14"/>
      <c r="U38" s="13"/>
      <c r="V38" s="14">
        <f t="shared" si="13"/>
        <v>-421847</v>
      </c>
    </row>
    <row r="39" spans="1:22" s="28" customFormat="1" ht="13" x14ac:dyDescent="0.35">
      <c r="A39" s="85" t="s">
        <v>92</v>
      </c>
      <c r="B39" s="15"/>
      <c r="C39" s="50"/>
      <c r="D39" s="51"/>
      <c r="E39" s="51"/>
      <c r="F39" s="51"/>
      <c r="G39" s="50"/>
      <c r="H39" s="50"/>
      <c r="I39" s="50"/>
      <c r="J39" s="50"/>
      <c r="K39" s="52">
        <f>+SUBTOTAL(9, K38)</f>
        <v>0</v>
      </c>
      <c r="L39" s="52">
        <f t="shared" ref="L39:M39" si="35">+SUBTOTAL(9, L38)</f>
        <v>-270000</v>
      </c>
      <c r="M39" s="52">
        <f t="shared" si="35"/>
        <v>-270000</v>
      </c>
      <c r="N39" s="52">
        <f t="shared" ref="N39" si="36">+SUBTOTAL(9, N38)</f>
        <v>0</v>
      </c>
      <c r="O39" s="52">
        <f t="shared" ref="O39" si="37">+SUBTOTAL(9, O38)</f>
        <v>0</v>
      </c>
      <c r="P39" s="52">
        <f t="shared" ref="P39" si="38">+SUBTOTAL(9, P38)</f>
        <v>-151847</v>
      </c>
      <c r="Q39" s="52">
        <f t="shared" ref="Q39" si="39">+SUBTOTAL(9, Q38)</f>
        <v>0</v>
      </c>
      <c r="R39" s="52">
        <f t="shared" ref="R39" si="40">+SUBTOTAL(9, R38)</f>
        <v>0</v>
      </c>
      <c r="S39" s="52">
        <f t="shared" ref="S39:V39" si="41">+SUBTOTAL(9, S38)</f>
        <v>-421847</v>
      </c>
      <c r="T39" s="52">
        <f t="shared" si="41"/>
        <v>0</v>
      </c>
      <c r="U39" s="52">
        <f t="shared" si="41"/>
        <v>0</v>
      </c>
      <c r="V39" s="52">
        <f t="shared" si="41"/>
        <v>-421847</v>
      </c>
    </row>
    <row r="40" spans="1:22" s="27" customFormat="1" ht="41.5" customHeight="1" x14ac:dyDescent="0.35">
      <c r="A40" s="13" t="s">
        <v>93</v>
      </c>
      <c r="B40" s="132" t="s">
        <v>94</v>
      </c>
      <c r="C40" s="13" t="s">
        <v>73</v>
      </c>
      <c r="D40" s="12" t="s">
        <v>74</v>
      </c>
      <c r="E40" s="12" t="s">
        <v>75</v>
      </c>
      <c r="F40" s="12" t="s">
        <v>76</v>
      </c>
      <c r="G40" s="13" t="s">
        <v>44</v>
      </c>
      <c r="H40" s="13"/>
      <c r="I40" s="13"/>
      <c r="J40" s="29" t="s">
        <v>95</v>
      </c>
      <c r="K40" s="14">
        <v>0</v>
      </c>
      <c r="L40" s="14">
        <v>-900000</v>
      </c>
      <c r="M40" s="14">
        <f t="shared" si="11"/>
        <v>-900000</v>
      </c>
      <c r="N40" s="14"/>
      <c r="O40" s="14"/>
      <c r="P40" s="14">
        <f>-491415-7254</f>
        <v>-498669</v>
      </c>
      <c r="Q40" s="14"/>
      <c r="R40" s="14"/>
      <c r="S40" s="14">
        <f t="shared" si="12"/>
        <v>-1398669</v>
      </c>
      <c r="T40" s="14"/>
      <c r="U40" s="13"/>
      <c r="V40" s="14">
        <f t="shared" si="13"/>
        <v>-1398669</v>
      </c>
    </row>
    <row r="41" spans="1:22" s="27" customFormat="1" ht="26" x14ac:dyDescent="0.35">
      <c r="A41" s="13"/>
      <c r="B41" s="133"/>
      <c r="C41" s="13" t="s">
        <v>73</v>
      </c>
      <c r="D41" s="12" t="s">
        <v>74</v>
      </c>
      <c r="E41" s="12" t="s">
        <v>75</v>
      </c>
      <c r="F41" s="12" t="s">
        <v>76</v>
      </c>
      <c r="G41" s="13" t="s">
        <v>44</v>
      </c>
      <c r="H41" s="13"/>
      <c r="I41" s="13"/>
      <c r="J41" s="12" t="s">
        <v>96</v>
      </c>
      <c r="K41" s="14"/>
      <c r="L41" s="14"/>
      <c r="M41" s="14">
        <f t="shared" si="11"/>
        <v>0</v>
      </c>
      <c r="N41" s="14"/>
      <c r="O41" s="14"/>
      <c r="P41" s="14">
        <v>-33087</v>
      </c>
      <c r="Q41" s="14"/>
      <c r="R41" s="14">
        <v>-94300</v>
      </c>
      <c r="S41" s="14">
        <f t="shared" si="12"/>
        <v>-127387</v>
      </c>
      <c r="T41" s="14"/>
      <c r="U41" s="13"/>
      <c r="V41" s="14">
        <f t="shared" si="13"/>
        <v>-127387</v>
      </c>
    </row>
    <row r="42" spans="1:22" s="27" customFormat="1" ht="39" x14ac:dyDescent="0.35">
      <c r="A42" s="13"/>
      <c r="B42" s="133"/>
      <c r="C42" s="13" t="s">
        <v>40</v>
      </c>
      <c r="D42" s="12" t="s">
        <v>41</v>
      </c>
      <c r="E42" s="12"/>
      <c r="F42" s="12"/>
      <c r="G42" s="13" t="s">
        <v>44</v>
      </c>
      <c r="H42" s="13"/>
      <c r="I42" s="13"/>
      <c r="J42" s="12" t="s">
        <v>186</v>
      </c>
      <c r="K42" s="14"/>
      <c r="L42" s="14"/>
      <c r="M42" s="14"/>
      <c r="N42" s="14"/>
      <c r="O42" s="14"/>
      <c r="P42" s="14"/>
      <c r="Q42" s="14"/>
      <c r="R42" s="14"/>
      <c r="S42" s="14">
        <f t="shared" si="12"/>
        <v>0</v>
      </c>
      <c r="T42" s="14">
        <v>-8000</v>
      </c>
      <c r="U42" s="13"/>
      <c r="V42" s="14">
        <f t="shared" si="13"/>
        <v>-8000</v>
      </c>
    </row>
    <row r="43" spans="1:22" s="28" customFormat="1" ht="13" x14ac:dyDescent="0.35">
      <c r="A43" s="15" t="s">
        <v>97</v>
      </c>
      <c r="B43" s="96"/>
      <c r="C43" s="50"/>
      <c r="D43" s="51"/>
      <c r="E43" s="51"/>
      <c r="F43" s="51"/>
      <c r="G43" s="50"/>
      <c r="H43" s="50"/>
      <c r="I43" s="50"/>
      <c r="J43" s="50"/>
      <c r="K43" s="52">
        <f>+SUBTOTAL(9, K40)</f>
        <v>0</v>
      </c>
      <c r="L43" s="52">
        <f t="shared" ref="L43" si="42">+SUBTOTAL(9, L40)</f>
        <v>-900000</v>
      </c>
      <c r="M43" s="52">
        <f>+SUBTOTAL(9, M40:M41)</f>
        <v>-900000</v>
      </c>
      <c r="N43" s="52">
        <f t="shared" ref="N43:R43" si="43">+SUBTOTAL(9, N40:N41)</f>
        <v>0</v>
      </c>
      <c r="O43" s="52">
        <f t="shared" si="43"/>
        <v>0</v>
      </c>
      <c r="P43" s="52">
        <f t="shared" si="43"/>
        <v>-531756</v>
      </c>
      <c r="Q43" s="52">
        <f t="shared" si="43"/>
        <v>0</v>
      </c>
      <c r="R43" s="52">
        <f t="shared" si="43"/>
        <v>-94300</v>
      </c>
      <c r="S43" s="52">
        <f>+SUBTOTAL(9, S40:S42)</f>
        <v>-1526056</v>
      </c>
      <c r="T43" s="52">
        <f t="shared" ref="T43:V43" si="44">+SUBTOTAL(9, T40:T42)</f>
        <v>-8000</v>
      </c>
      <c r="U43" s="52">
        <f t="shared" si="44"/>
        <v>0</v>
      </c>
      <c r="V43" s="52">
        <f t="shared" si="44"/>
        <v>-1534056</v>
      </c>
    </row>
    <row r="44" spans="1:22" s="28" customFormat="1" ht="26" x14ac:dyDescent="0.35">
      <c r="A44" s="29" t="s">
        <v>98</v>
      </c>
      <c r="B44" s="77" t="s">
        <v>99</v>
      </c>
      <c r="C44" s="13" t="s">
        <v>73</v>
      </c>
      <c r="D44" s="12" t="s">
        <v>74</v>
      </c>
      <c r="E44" s="12" t="s">
        <v>75</v>
      </c>
      <c r="F44" s="12" t="s">
        <v>76</v>
      </c>
      <c r="G44" s="13" t="s">
        <v>44</v>
      </c>
      <c r="H44" s="37"/>
      <c r="I44" s="37"/>
      <c r="J44" s="12" t="s">
        <v>100</v>
      </c>
      <c r="K44" s="14">
        <v>0</v>
      </c>
      <c r="L44" s="14">
        <v>-1000000</v>
      </c>
      <c r="M44" s="14">
        <f t="shared" si="11"/>
        <v>-1000000</v>
      </c>
      <c r="N44" s="14"/>
      <c r="O44" s="47"/>
      <c r="P44" s="47"/>
      <c r="Q44" s="47"/>
      <c r="R44" s="14">
        <v>-2000</v>
      </c>
      <c r="S44" s="14">
        <f t="shared" si="12"/>
        <v>-1002000</v>
      </c>
      <c r="T44" s="14"/>
      <c r="U44" s="37"/>
      <c r="V44" s="14">
        <f t="shared" si="13"/>
        <v>-1002000</v>
      </c>
    </row>
    <row r="45" spans="1:22" s="57" customFormat="1" ht="13" x14ac:dyDescent="0.35">
      <c r="A45" s="64" t="s">
        <v>101</v>
      </c>
      <c r="B45" s="48"/>
      <c r="C45" s="64"/>
      <c r="D45" s="25"/>
      <c r="E45" s="25"/>
      <c r="F45" s="25"/>
      <c r="G45" s="64"/>
      <c r="H45" s="64"/>
      <c r="I45" s="64"/>
      <c r="J45" s="64"/>
      <c r="K45" s="97">
        <f>+SUBTOTAL(9, K44)</f>
        <v>0</v>
      </c>
      <c r="L45" s="97">
        <f t="shared" ref="L45:M45" si="45">+SUBTOTAL(9, L44)</f>
        <v>-1000000</v>
      </c>
      <c r="M45" s="97">
        <f t="shared" si="45"/>
        <v>-1000000</v>
      </c>
      <c r="N45" s="97">
        <f t="shared" ref="N45" si="46">+SUBTOTAL(9, N44)</f>
        <v>0</v>
      </c>
      <c r="O45" s="97">
        <f t="shared" ref="O45" si="47">+SUBTOTAL(9, O44)</f>
        <v>0</v>
      </c>
      <c r="P45" s="97">
        <f t="shared" ref="P45" si="48">+SUBTOTAL(9, P44)</f>
        <v>0</v>
      </c>
      <c r="Q45" s="97">
        <f t="shared" ref="Q45" si="49">+SUBTOTAL(9, Q44)</f>
        <v>0</v>
      </c>
      <c r="R45" s="97">
        <f t="shared" ref="R45" si="50">+SUBTOTAL(9, R44)</f>
        <v>-2000</v>
      </c>
      <c r="S45" s="97">
        <f t="shared" ref="S45:V45" si="51">+SUBTOTAL(9, S44)</f>
        <v>-1002000</v>
      </c>
      <c r="T45" s="97">
        <f t="shared" si="51"/>
        <v>0</v>
      </c>
      <c r="U45" s="97">
        <f t="shared" si="51"/>
        <v>0</v>
      </c>
      <c r="V45" s="97">
        <f t="shared" si="51"/>
        <v>-1002000</v>
      </c>
    </row>
    <row r="46" spans="1:22" s="57" customFormat="1" ht="26" x14ac:dyDescent="0.35">
      <c r="A46" s="29" t="s">
        <v>102</v>
      </c>
      <c r="B46" s="78" t="s">
        <v>103</v>
      </c>
      <c r="C46" s="31" t="s">
        <v>73</v>
      </c>
      <c r="D46" s="29" t="s">
        <v>74</v>
      </c>
      <c r="E46" s="29" t="s">
        <v>75</v>
      </c>
      <c r="F46" s="29" t="s">
        <v>76</v>
      </c>
      <c r="G46" s="31" t="s">
        <v>44</v>
      </c>
      <c r="H46" s="31" t="s">
        <v>31</v>
      </c>
      <c r="I46" s="31" t="s">
        <v>31</v>
      </c>
      <c r="J46" s="29" t="s">
        <v>104</v>
      </c>
      <c r="K46" s="30">
        <v>0</v>
      </c>
      <c r="L46" s="30">
        <v>-50000</v>
      </c>
      <c r="M46" s="14">
        <f t="shared" si="11"/>
        <v>-50000</v>
      </c>
      <c r="N46" s="30"/>
      <c r="O46" s="56"/>
      <c r="P46" s="30">
        <v>-3330</v>
      </c>
      <c r="Q46" s="56"/>
      <c r="R46" s="56"/>
      <c r="S46" s="14">
        <f t="shared" si="12"/>
        <v>-53330</v>
      </c>
      <c r="T46" s="14"/>
      <c r="U46" s="55"/>
      <c r="V46" s="14">
        <f t="shared" si="13"/>
        <v>-53330</v>
      </c>
    </row>
    <row r="47" spans="1:22" s="57" customFormat="1" ht="13" x14ac:dyDescent="0.35">
      <c r="A47" s="98" t="s">
        <v>105</v>
      </c>
      <c r="B47" s="66"/>
      <c r="C47" s="99"/>
      <c r="D47" s="100"/>
      <c r="E47" s="100"/>
      <c r="F47" s="100"/>
      <c r="G47" s="99"/>
      <c r="H47" s="99"/>
      <c r="I47" s="99"/>
      <c r="J47" s="99"/>
      <c r="K47" s="97">
        <f>+SUBTOTAL(9,K46)</f>
        <v>0</v>
      </c>
      <c r="L47" s="97">
        <f t="shared" ref="L47:M47" si="52">+SUBTOTAL(9,L46)</f>
        <v>-50000</v>
      </c>
      <c r="M47" s="97">
        <f t="shared" si="52"/>
        <v>-50000</v>
      </c>
      <c r="N47" s="97">
        <f t="shared" ref="N47" si="53">+SUBTOTAL(9,N46)</f>
        <v>0</v>
      </c>
      <c r="O47" s="97">
        <f t="shared" ref="O47" si="54">+SUBTOTAL(9,O46)</f>
        <v>0</v>
      </c>
      <c r="P47" s="97">
        <f t="shared" ref="P47" si="55">+SUBTOTAL(9,P46)</f>
        <v>-3330</v>
      </c>
      <c r="Q47" s="97">
        <f t="shared" ref="Q47" si="56">+SUBTOTAL(9,Q46)</f>
        <v>0</v>
      </c>
      <c r="R47" s="97">
        <f t="shared" ref="R47" si="57">+SUBTOTAL(9,R46)</f>
        <v>0</v>
      </c>
      <c r="S47" s="97">
        <f t="shared" ref="S47:V47" si="58">+SUBTOTAL(9,S46)</f>
        <v>-53330</v>
      </c>
      <c r="T47" s="97">
        <f t="shared" si="58"/>
        <v>0</v>
      </c>
      <c r="U47" s="97">
        <f t="shared" si="58"/>
        <v>0</v>
      </c>
      <c r="V47" s="97">
        <f t="shared" si="58"/>
        <v>-53330</v>
      </c>
    </row>
    <row r="48" spans="1:22" s="57" customFormat="1" ht="26" x14ac:dyDescent="0.35">
      <c r="A48" s="129" t="s">
        <v>106</v>
      </c>
      <c r="B48" s="87"/>
      <c r="C48" s="31" t="s">
        <v>73</v>
      </c>
      <c r="D48" s="29" t="s">
        <v>74</v>
      </c>
      <c r="E48" s="29" t="s">
        <v>75</v>
      </c>
      <c r="F48" s="29" t="s">
        <v>76</v>
      </c>
      <c r="G48" s="31" t="s">
        <v>44</v>
      </c>
      <c r="H48" s="101"/>
      <c r="I48" s="101"/>
      <c r="J48" s="12" t="s">
        <v>107</v>
      </c>
      <c r="K48" s="102"/>
      <c r="L48" s="56"/>
      <c r="M48" s="56">
        <v>0</v>
      </c>
      <c r="N48" s="56"/>
      <c r="O48" s="56"/>
      <c r="P48" s="30">
        <v>-116914</v>
      </c>
      <c r="Q48" s="56"/>
      <c r="R48" s="56"/>
      <c r="S48" s="56">
        <f>+M48+N48+O48+P48+Q48+R48</f>
        <v>-116914</v>
      </c>
      <c r="T48" s="56"/>
      <c r="U48" s="55"/>
      <c r="V48" s="14">
        <f t="shared" si="13"/>
        <v>-116914</v>
      </c>
    </row>
    <row r="49" spans="1:22" s="57" customFormat="1" ht="13" x14ac:dyDescent="0.35">
      <c r="A49" s="88" t="s">
        <v>108</v>
      </c>
      <c r="B49" s="66"/>
      <c r="C49" s="99"/>
      <c r="D49" s="100"/>
      <c r="E49" s="100"/>
      <c r="F49" s="100"/>
      <c r="G49" s="99"/>
      <c r="H49" s="99"/>
      <c r="I49" s="99"/>
      <c r="J49" s="99"/>
      <c r="K49" s="97"/>
      <c r="L49" s="97"/>
      <c r="M49" s="97">
        <f>+SUBTOTAL(9,M48)</f>
        <v>0</v>
      </c>
      <c r="N49" s="97">
        <f t="shared" ref="N49:V49" si="59">+SUBTOTAL(9,N48)</f>
        <v>0</v>
      </c>
      <c r="O49" s="97">
        <f t="shared" si="59"/>
        <v>0</v>
      </c>
      <c r="P49" s="97">
        <f t="shared" si="59"/>
        <v>-116914</v>
      </c>
      <c r="Q49" s="97">
        <f t="shared" si="59"/>
        <v>0</v>
      </c>
      <c r="R49" s="97">
        <f t="shared" si="59"/>
        <v>0</v>
      </c>
      <c r="S49" s="97">
        <f t="shared" si="59"/>
        <v>-116914</v>
      </c>
      <c r="T49" s="97">
        <f t="shared" si="59"/>
        <v>0</v>
      </c>
      <c r="U49" s="97">
        <f t="shared" si="59"/>
        <v>0</v>
      </c>
      <c r="V49" s="97">
        <f t="shared" si="59"/>
        <v>-116914</v>
      </c>
    </row>
    <row r="50" spans="1:22" s="57" customFormat="1" ht="26" x14ac:dyDescent="0.35">
      <c r="A50" s="73"/>
      <c r="B50" s="44" t="s">
        <v>109</v>
      </c>
      <c r="C50" s="13" t="s">
        <v>50</v>
      </c>
      <c r="D50" s="13" t="s">
        <v>51</v>
      </c>
      <c r="E50" s="13"/>
      <c r="F50" s="13"/>
      <c r="G50" s="13" t="s">
        <v>44</v>
      </c>
      <c r="H50" s="55"/>
      <c r="I50" s="55"/>
      <c r="J50" s="29" t="s">
        <v>110</v>
      </c>
      <c r="K50" s="40">
        <v>-1319000</v>
      </c>
      <c r="L50" s="56"/>
      <c r="M50" s="14">
        <f t="shared" si="11"/>
        <v>-1319000</v>
      </c>
      <c r="N50" s="30"/>
      <c r="O50" s="56"/>
      <c r="P50" s="56"/>
      <c r="Q50" s="30">
        <v>112769.0001</v>
      </c>
      <c r="R50" s="56"/>
      <c r="S50" s="14">
        <f t="shared" si="12"/>
        <v>-1206230.9998999999</v>
      </c>
      <c r="T50" s="14"/>
      <c r="U50" s="30">
        <v>300000</v>
      </c>
      <c r="V50" s="14">
        <f t="shared" si="13"/>
        <v>-906230.99989999994</v>
      </c>
    </row>
    <row r="51" spans="1:22" s="36" customFormat="1" ht="43.5" customHeight="1" x14ac:dyDescent="0.35">
      <c r="A51" s="31"/>
      <c r="B51" s="49" t="s">
        <v>111</v>
      </c>
      <c r="C51" s="31" t="s">
        <v>73</v>
      </c>
      <c r="D51" s="29" t="s">
        <v>74</v>
      </c>
      <c r="E51" s="29"/>
      <c r="F51" s="29"/>
      <c r="G51" s="31" t="s">
        <v>44</v>
      </c>
      <c r="H51" s="31"/>
      <c r="I51" s="31"/>
      <c r="J51" s="29" t="s">
        <v>110</v>
      </c>
      <c r="K51" s="30">
        <f>-30963580-14907601.9999612</f>
        <v>-45871181.999961197</v>
      </c>
      <c r="L51" s="30">
        <f>2475000+30363000+4000000+1000000+50000+3000000+261565+133250+900000+270000+950000+1400000+440000</f>
        <v>45242815</v>
      </c>
      <c r="M51" s="14">
        <f t="shared" si="11"/>
        <v>-628366.99996119738</v>
      </c>
      <c r="N51" s="30"/>
      <c r="O51" s="30"/>
      <c r="P51" s="30">
        <f>-15039494-212365+7254+33087</f>
        <v>-15211518</v>
      </c>
      <c r="Q51" s="30"/>
      <c r="R51" s="30">
        <f>94300+2000</f>
        <v>96300</v>
      </c>
      <c r="S51" s="14">
        <f t="shared" si="12"/>
        <v>-15743584.999961197</v>
      </c>
      <c r="T51" s="14"/>
      <c r="U51" s="30">
        <v>29580.000100000001</v>
      </c>
      <c r="V51" s="14">
        <f t="shared" si="13"/>
        <v>-15714004.999861198</v>
      </c>
    </row>
    <row r="52" spans="1:22" s="27" customFormat="1" ht="31.9" customHeight="1" x14ac:dyDescent="0.35">
      <c r="A52" s="13"/>
      <c r="B52" s="43" t="s">
        <v>112</v>
      </c>
      <c r="C52" s="13" t="s">
        <v>73</v>
      </c>
      <c r="D52" s="12" t="s">
        <v>74</v>
      </c>
      <c r="E52" s="12" t="s">
        <v>75</v>
      </c>
      <c r="F52" s="12" t="s">
        <v>76</v>
      </c>
      <c r="G52" s="13" t="s">
        <v>44</v>
      </c>
      <c r="H52" s="13" t="s">
        <v>54</v>
      </c>
      <c r="I52" s="13" t="s">
        <v>55</v>
      </c>
      <c r="J52" s="12" t="s">
        <v>110</v>
      </c>
      <c r="K52" s="35">
        <v>-2200000</v>
      </c>
      <c r="L52" s="35">
        <v>2200000</v>
      </c>
      <c r="M52" s="14">
        <f t="shared" si="11"/>
        <v>0</v>
      </c>
      <c r="N52" s="14"/>
      <c r="O52" s="14"/>
      <c r="P52" s="14"/>
      <c r="Q52" s="14"/>
      <c r="R52" s="14"/>
      <c r="S52" s="14">
        <f t="shared" si="12"/>
        <v>0</v>
      </c>
      <c r="T52" s="14"/>
      <c r="U52" s="13"/>
      <c r="V52" s="14">
        <f t="shared" si="13"/>
        <v>0</v>
      </c>
    </row>
    <row r="53" spans="1:22" s="27" customFormat="1" ht="30" customHeight="1" x14ac:dyDescent="0.35">
      <c r="A53" s="13"/>
      <c r="B53" s="44" t="s">
        <v>113</v>
      </c>
      <c r="C53" s="13" t="s">
        <v>114</v>
      </c>
      <c r="D53" s="12" t="s">
        <v>115</v>
      </c>
      <c r="E53" s="12"/>
      <c r="F53" s="12"/>
      <c r="G53" s="13"/>
      <c r="H53" s="13"/>
      <c r="I53" s="13"/>
      <c r="J53" s="12" t="s">
        <v>110</v>
      </c>
      <c r="K53" s="35">
        <v>-262694.99999879999</v>
      </c>
      <c r="L53" s="35"/>
      <c r="M53" s="14">
        <f t="shared" si="11"/>
        <v>-262694.99999879999</v>
      </c>
      <c r="N53" s="14"/>
      <c r="O53" s="14"/>
      <c r="P53" s="14">
        <v>-59029</v>
      </c>
      <c r="Q53" s="14"/>
      <c r="R53" s="14"/>
      <c r="S53" s="14">
        <f>+M53+N53+O53+P53+Q53</f>
        <v>-321723.99999879999</v>
      </c>
      <c r="T53" s="14"/>
      <c r="U53" s="13"/>
      <c r="V53" s="14">
        <f t="shared" si="13"/>
        <v>-321723.99999879999</v>
      </c>
    </row>
    <row r="54" spans="1:22" s="28" customFormat="1" ht="13" x14ac:dyDescent="0.35">
      <c r="A54" s="10" t="s">
        <v>116</v>
      </c>
      <c r="B54" s="95"/>
      <c r="C54" s="103"/>
      <c r="D54" s="51"/>
      <c r="E54" s="51"/>
      <c r="F54" s="51"/>
      <c r="G54" s="50"/>
      <c r="H54" s="50"/>
      <c r="I54" s="50"/>
      <c r="J54" s="50"/>
      <c r="K54" s="52">
        <f>+SUBTOTAL(9, K50:K53)</f>
        <v>-49652876.999959998</v>
      </c>
      <c r="L54" s="52">
        <f t="shared" ref="L54:M54" si="60">+SUBTOTAL(9, L50:L53)</f>
        <v>47442815</v>
      </c>
      <c r="M54" s="52">
        <f t="shared" si="60"/>
        <v>-2210061.9999599974</v>
      </c>
      <c r="N54" s="52">
        <f t="shared" ref="N54" si="61">+SUBTOTAL(9, N50:N53)</f>
        <v>0</v>
      </c>
      <c r="O54" s="52">
        <f t="shared" ref="O54" si="62">+SUBTOTAL(9, O50:O53)</f>
        <v>0</v>
      </c>
      <c r="P54" s="52">
        <f t="shared" ref="P54" si="63">+SUBTOTAL(9, P50:P53)</f>
        <v>-15270547</v>
      </c>
      <c r="Q54" s="52">
        <f t="shared" ref="Q54" si="64">+SUBTOTAL(9, Q50:Q53)</f>
        <v>112769.0001</v>
      </c>
      <c r="R54" s="52">
        <f t="shared" ref="R54" si="65">+SUBTOTAL(9, R50:R53)</f>
        <v>96300</v>
      </c>
      <c r="S54" s="52">
        <f t="shared" ref="S54:V54" si="66">+SUBTOTAL(9, S50:S53)</f>
        <v>-17271539.999859996</v>
      </c>
      <c r="T54" s="52">
        <f t="shared" si="66"/>
        <v>0</v>
      </c>
      <c r="U54" s="52">
        <f t="shared" si="66"/>
        <v>329580.0001</v>
      </c>
      <c r="V54" s="52">
        <f t="shared" si="66"/>
        <v>-16941959.999759998</v>
      </c>
    </row>
    <row r="55" spans="1:22" s="27" customFormat="1" ht="33.65" customHeight="1" x14ac:dyDescent="0.35">
      <c r="A55" s="13" t="s">
        <v>117</v>
      </c>
      <c r="B55" s="46" t="s">
        <v>118</v>
      </c>
      <c r="C55" s="13" t="s">
        <v>73</v>
      </c>
      <c r="D55" s="12" t="s">
        <v>74</v>
      </c>
      <c r="E55" s="12" t="s">
        <v>75</v>
      </c>
      <c r="F55" s="12" t="s">
        <v>76</v>
      </c>
      <c r="G55" s="13" t="s">
        <v>44</v>
      </c>
      <c r="H55" s="13"/>
      <c r="I55" s="13"/>
      <c r="J55" s="12" t="s">
        <v>119</v>
      </c>
      <c r="K55" s="30">
        <f>-538000-14920000</f>
        <v>-15458000</v>
      </c>
      <c r="L55" s="30">
        <f>-32563000+2200000</f>
        <v>-30363000</v>
      </c>
      <c r="M55" s="14">
        <f t="shared" si="11"/>
        <v>-45821000</v>
      </c>
      <c r="N55" s="14"/>
      <c r="O55" s="14"/>
      <c r="P55" s="14">
        <f>-1804605-10706218</f>
        <v>-12510823</v>
      </c>
      <c r="Q55" s="14">
        <v>3014924</v>
      </c>
      <c r="R55" s="14">
        <v>-2200000</v>
      </c>
      <c r="S55" s="14">
        <f>+M55+N55+O55+P55+Q55+R55</f>
        <v>-57516899</v>
      </c>
      <c r="T55" s="14"/>
      <c r="U55" s="14">
        <v>24000000</v>
      </c>
      <c r="V55" s="14">
        <f t="shared" si="13"/>
        <v>-33516899</v>
      </c>
    </row>
    <row r="56" spans="1:22" s="36" customFormat="1" ht="32.5" customHeight="1" x14ac:dyDescent="0.35">
      <c r="A56" s="31"/>
      <c r="B56" s="46"/>
      <c r="C56" s="31" t="s">
        <v>73</v>
      </c>
      <c r="D56" s="29" t="s">
        <v>74</v>
      </c>
      <c r="E56" s="29"/>
      <c r="F56" s="29"/>
      <c r="G56" s="31" t="s">
        <v>44</v>
      </c>
      <c r="H56" s="31" t="s">
        <v>54</v>
      </c>
      <c r="I56" s="31" t="s">
        <v>55</v>
      </c>
      <c r="J56" s="29" t="s">
        <v>120</v>
      </c>
      <c r="K56" s="30">
        <v>0</v>
      </c>
      <c r="L56" s="30">
        <v>-2200000</v>
      </c>
      <c r="M56" s="14">
        <f t="shared" si="11"/>
        <v>-2200000</v>
      </c>
      <c r="N56" s="30"/>
      <c r="O56" s="30"/>
      <c r="P56" s="30"/>
      <c r="Q56" s="30"/>
      <c r="R56" s="30">
        <v>2200000</v>
      </c>
      <c r="S56" s="14">
        <f t="shared" si="12"/>
        <v>0</v>
      </c>
      <c r="T56" s="14"/>
      <c r="U56" s="31"/>
      <c r="V56" s="14">
        <f t="shared" si="13"/>
        <v>0</v>
      </c>
    </row>
    <row r="57" spans="1:22" s="27" customFormat="1" ht="30" customHeight="1" x14ac:dyDescent="0.35">
      <c r="A57" s="13"/>
      <c r="B57" s="43" t="s">
        <v>121</v>
      </c>
      <c r="C57" s="13" t="s">
        <v>73</v>
      </c>
      <c r="D57" s="12" t="s">
        <v>74</v>
      </c>
      <c r="E57" s="12"/>
      <c r="F57" s="12"/>
      <c r="G57" s="13" t="s">
        <v>44</v>
      </c>
      <c r="H57" s="13"/>
      <c r="I57" s="13"/>
      <c r="J57" s="63" t="s">
        <v>122</v>
      </c>
      <c r="K57" s="40">
        <v>-999636.10059039993</v>
      </c>
      <c r="L57" s="14"/>
      <c r="M57" s="14">
        <f t="shared" si="11"/>
        <v>-999636.10059039993</v>
      </c>
      <c r="N57" s="14"/>
      <c r="O57" s="14"/>
      <c r="P57" s="14"/>
      <c r="Q57" s="14"/>
      <c r="R57" s="14"/>
      <c r="S57" s="14">
        <f t="shared" si="12"/>
        <v>-999636.10059039993</v>
      </c>
      <c r="T57" s="14"/>
      <c r="U57" s="13"/>
      <c r="V57" s="14">
        <f t="shared" si="13"/>
        <v>-999636.10059039993</v>
      </c>
    </row>
    <row r="58" spans="1:22" s="27" customFormat="1" ht="29.25" customHeight="1" x14ac:dyDescent="0.35">
      <c r="A58" s="13"/>
      <c r="B58" s="43" t="s">
        <v>123</v>
      </c>
      <c r="C58" s="13" t="s">
        <v>124</v>
      </c>
      <c r="D58" s="12" t="s">
        <v>125</v>
      </c>
      <c r="E58" s="12"/>
      <c r="F58" s="12"/>
      <c r="G58" s="13" t="s">
        <v>44</v>
      </c>
      <c r="H58" s="13" t="s">
        <v>126</v>
      </c>
      <c r="I58" s="13" t="s">
        <v>127</v>
      </c>
      <c r="J58" s="12" t="s">
        <v>128</v>
      </c>
      <c r="K58" s="14">
        <v>-22563.828000000001</v>
      </c>
      <c r="L58" s="14"/>
      <c r="M58" s="14">
        <f t="shared" si="11"/>
        <v>-22563.828000000001</v>
      </c>
      <c r="N58" s="14"/>
      <c r="O58" s="14"/>
      <c r="P58" s="14">
        <v>-18793</v>
      </c>
      <c r="Q58" s="14"/>
      <c r="R58" s="14"/>
      <c r="S58" s="14">
        <f t="shared" si="12"/>
        <v>-41356.828000000001</v>
      </c>
      <c r="T58" s="14"/>
      <c r="U58" s="13"/>
      <c r="V58" s="14">
        <f t="shared" si="13"/>
        <v>-41356.828000000001</v>
      </c>
    </row>
    <row r="59" spans="1:22" s="27" customFormat="1" ht="26" x14ac:dyDescent="0.35">
      <c r="A59" s="13"/>
      <c r="B59" s="43" t="s">
        <v>129</v>
      </c>
      <c r="C59" s="13" t="s">
        <v>124</v>
      </c>
      <c r="D59" s="12" t="s">
        <v>125</v>
      </c>
      <c r="E59" s="12"/>
      <c r="F59" s="12"/>
      <c r="G59" s="13" t="s">
        <v>44</v>
      </c>
      <c r="H59" s="13"/>
      <c r="I59" s="13"/>
      <c r="J59" s="12" t="s">
        <v>130</v>
      </c>
      <c r="K59" s="14">
        <f>-248899-10614990-471996</f>
        <v>-11335885</v>
      </c>
      <c r="L59" s="14"/>
      <c r="M59" s="14">
        <f t="shared" si="11"/>
        <v>-11335885</v>
      </c>
      <c r="N59" s="14"/>
      <c r="O59" s="14"/>
      <c r="P59" s="14">
        <f>-2737943-39194-3516686</f>
        <v>-6293823</v>
      </c>
      <c r="Q59" s="14">
        <v>2500000</v>
      </c>
      <c r="R59" s="14">
        <v>100000</v>
      </c>
      <c r="S59" s="14">
        <f t="shared" si="12"/>
        <v>-15029708</v>
      </c>
      <c r="T59" s="14">
        <v>-20000</v>
      </c>
      <c r="U59" s="13"/>
      <c r="V59" s="14">
        <f t="shared" si="13"/>
        <v>-15049708</v>
      </c>
    </row>
    <row r="60" spans="1:22" s="27" customFormat="1" ht="26" x14ac:dyDescent="0.35">
      <c r="A60" s="13"/>
      <c r="B60" s="43" t="s">
        <v>121</v>
      </c>
      <c r="C60" s="13" t="s">
        <v>124</v>
      </c>
      <c r="D60" s="12" t="s">
        <v>125</v>
      </c>
      <c r="E60" s="12"/>
      <c r="F60" s="12"/>
      <c r="G60" s="13" t="s">
        <v>44</v>
      </c>
      <c r="H60" s="13" t="s">
        <v>31</v>
      </c>
      <c r="I60" s="13" t="s">
        <v>31</v>
      </c>
      <c r="J60" s="12" t="s">
        <v>122</v>
      </c>
      <c r="K60" s="14">
        <f>-2*999636</f>
        <v>-1999272</v>
      </c>
      <c r="L60" s="14"/>
      <c r="M60" s="14">
        <f t="shared" si="11"/>
        <v>-1999272</v>
      </c>
      <c r="N60" s="14"/>
      <c r="O60" s="14"/>
      <c r="P60" s="14"/>
      <c r="Q60" s="14"/>
      <c r="R60" s="14"/>
      <c r="S60" s="14">
        <f t="shared" si="12"/>
        <v>-1999272</v>
      </c>
      <c r="T60" s="14"/>
      <c r="U60" s="13"/>
      <c r="V60" s="14">
        <f t="shared" si="13"/>
        <v>-1999272</v>
      </c>
    </row>
    <row r="61" spans="1:22" s="27" customFormat="1" ht="42" customHeight="1" x14ac:dyDescent="0.35">
      <c r="A61" s="13"/>
      <c r="B61" s="43" t="s">
        <v>131</v>
      </c>
      <c r="C61" s="13" t="s">
        <v>132</v>
      </c>
      <c r="D61" s="12" t="s">
        <v>133</v>
      </c>
      <c r="E61" s="12"/>
      <c r="F61" s="12"/>
      <c r="G61" s="13" t="s">
        <v>44</v>
      </c>
      <c r="H61" s="13" t="s">
        <v>134</v>
      </c>
      <c r="I61" s="12" t="s">
        <v>135</v>
      </c>
      <c r="J61" s="13" t="s">
        <v>56</v>
      </c>
      <c r="K61" s="14">
        <v>-1500000</v>
      </c>
      <c r="L61" s="14"/>
      <c r="M61" s="14">
        <f t="shared" si="11"/>
        <v>-1500000</v>
      </c>
      <c r="N61" s="14">
        <v>-2500000</v>
      </c>
      <c r="O61" s="14"/>
      <c r="P61" s="14"/>
      <c r="Q61" s="14"/>
      <c r="R61" s="14"/>
      <c r="S61" s="14">
        <f t="shared" si="12"/>
        <v>-4000000</v>
      </c>
      <c r="T61" s="14"/>
      <c r="U61" s="13"/>
      <c r="V61" s="14">
        <f t="shared" si="13"/>
        <v>-4000000</v>
      </c>
    </row>
    <row r="62" spans="1:22" s="27" customFormat="1" ht="42.75" customHeight="1" x14ac:dyDescent="0.35">
      <c r="A62" s="13"/>
      <c r="B62" s="43" t="s">
        <v>136</v>
      </c>
      <c r="C62" s="13" t="s">
        <v>132</v>
      </c>
      <c r="D62" s="12" t="s">
        <v>133</v>
      </c>
      <c r="E62" s="12"/>
      <c r="F62" s="12"/>
      <c r="G62" s="13" t="s">
        <v>44</v>
      </c>
      <c r="H62" s="13"/>
      <c r="I62" s="13"/>
      <c r="J62" s="12" t="s">
        <v>137</v>
      </c>
      <c r="K62" s="14">
        <v>-5583981.9999799998</v>
      </c>
      <c r="L62" s="14"/>
      <c r="M62" s="14">
        <f t="shared" si="11"/>
        <v>-5583981.9999799998</v>
      </c>
      <c r="N62" s="14"/>
      <c r="O62" s="14"/>
      <c r="P62" s="14">
        <v>-1251225.9999899999</v>
      </c>
      <c r="Q62" s="14">
        <v>1200000</v>
      </c>
      <c r="R62" s="14"/>
      <c r="S62" s="14">
        <f t="shared" si="12"/>
        <v>-5635207.9999700002</v>
      </c>
      <c r="T62" s="14"/>
      <c r="U62" s="13"/>
      <c r="V62" s="14">
        <f t="shared" si="13"/>
        <v>-5635207.9999700002</v>
      </c>
    </row>
    <row r="63" spans="1:22" s="27" customFormat="1" ht="39" customHeight="1" x14ac:dyDescent="0.35">
      <c r="A63" s="13"/>
      <c r="B63" s="43" t="s">
        <v>121</v>
      </c>
      <c r="C63" s="13" t="s">
        <v>132</v>
      </c>
      <c r="D63" s="12" t="s">
        <v>133</v>
      </c>
      <c r="E63" s="12"/>
      <c r="F63" s="12"/>
      <c r="G63" s="13" t="s">
        <v>44</v>
      </c>
      <c r="H63" s="13"/>
      <c r="I63" s="13"/>
      <c r="J63" s="12" t="s">
        <v>122</v>
      </c>
      <c r="K63" s="14">
        <v>-999636.10059039993</v>
      </c>
      <c r="L63" s="14"/>
      <c r="M63" s="14">
        <f t="shared" si="11"/>
        <v>-999636.10059039993</v>
      </c>
      <c r="N63" s="14"/>
      <c r="O63" s="14"/>
      <c r="P63" s="14"/>
      <c r="Q63" s="14"/>
      <c r="R63" s="14"/>
      <c r="S63" s="14">
        <f t="shared" si="12"/>
        <v>-999636.10059039993</v>
      </c>
      <c r="T63" s="14"/>
      <c r="U63" s="13"/>
      <c r="V63" s="14">
        <f t="shared" si="13"/>
        <v>-999636.10059039993</v>
      </c>
    </row>
    <row r="64" spans="1:22" s="27" customFormat="1" ht="29.25" customHeight="1" x14ac:dyDescent="0.35">
      <c r="A64" s="13"/>
      <c r="B64" s="43" t="s">
        <v>123</v>
      </c>
      <c r="C64" s="13" t="s">
        <v>40</v>
      </c>
      <c r="D64" s="12" t="s">
        <v>41</v>
      </c>
      <c r="E64" s="12"/>
      <c r="F64" s="12"/>
      <c r="G64" s="13" t="s">
        <v>44</v>
      </c>
      <c r="H64" s="13" t="s">
        <v>126</v>
      </c>
      <c r="I64" s="13" t="s">
        <v>127</v>
      </c>
      <c r="J64" s="12" t="s">
        <v>128</v>
      </c>
      <c r="K64" s="14">
        <v>-794.17200000000003</v>
      </c>
      <c r="L64" s="14"/>
      <c r="M64" s="14">
        <f t="shared" si="11"/>
        <v>-794.17200000000003</v>
      </c>
      <c r="N64" s="14"/>
      <c r="O64" s="14"/>
      <c r="P64" s="14">
        <v>-481</v>
      </c>
      <c r="Q64" s="14"/>
      <c r="R64" s="14"/>
      <c r="S64" s="14">
        <f t="shared" si="12"/>
        <v>-1275.172</v>
      </c>
      <c r="T64" s="14"/>
      <c r="U64" s="13"/>
      <c r="V64" s="14">
        <f t="shared" si="13"/>
        <v>-1275.172</v>
      </c>
    </row>
    <row r="65" spans="1:22" s="27" customFormat="1" ht="26" x14ac:dyDescent="0.35">
      <c r="A65" s="13"/>
      <c r="B65" s="43" t="s">
        <v>138</v>
      </c>
      <c r="C65" s="13" t="s">
        <v>40</v>
      </c>
      <c r="D65" s="12" t="s">
        <v>41</v>
      </c>
      <c r="E65" s="12"/>
      <c r="F65" s="12"/>
      <c r="G65" s="13" t="s">
        <v>44</v>
      </c>
      <c r="H65" s="13"/>
      <c r="I65" s="13"/>
      <c r="J65" s="12" t="s">
        <v>137</v>
      </c>
      <c r="K65" s="14">
        <f>-8500000-1630000</f>
        <v>-10130000</v>
      </c>
      <c r="L65" s="14"/>
      <c r="M65" s="14">
        <f t="shared" si="11"/>
        <v>-10130000</v>
      </c>
      <c r="N65" s="14"/>
      <c r="O65" s="14">
        <v>1000000</v>
      </c>
      <c r="P65" s="14">
        <v>-1742503</v>
      </c>
      <c r="Q65" s="14">
        <f>1505000+500000</f>
        <v>2005000</v>
      </c>
      <c r="R65" s="14"/>
      <c r="S65" s="14">
        <f t="shared" si="12"/>
        <v>-8867503</v>
      </c>
      <c r="T65" s="14"/>
      <c r="U65" s="13"/>
      <c r="V65" s="14">
        <f t="shared" si="13"/>
        <v>-8867503</v>
      </c>
    </row>
    <row r="66" spans="1:22" s="27" customFormat="1" ht="26" x14ac:dyDescent="0.35">
      <c r="A66" s="13"/>
      <c r="B66" s="43" t="s">
        <v>121</v>
      </c>
      <c r="C66" s="13" t="s">
        <v>40</v>
      </c>
      <c r="D66" s="12" t="s">
        <v>41</v>
      </c>
      <c r="E66" s="12"/>
      <c r="F66" s="12"/>
      <c r="G66" s="13" t="s">
        <v>44</v>
      </c>
      <c r="H66" s="13"/>
      <c r="I66" s="13"/>
      <c r="J66" s="12" t="s">
        <v>122</v>
      </c>
      <c r="K66" s="14">
        <v>-999636.10059039993</v>
      </c>
      <c r="L66" s="14"/>
      <c r="M66" s="14">
        <f t="shared" si="11"/>
        <v>-999636.10059039993</v>
      </c>
      <c r="N66" s="14"/>
      <c r="O66" s="14"/>
      <c r="P66" s="14"/>
      <c r="Q66" s="14"/>
      <c r="R66" s="14"/>
      <c r="S66" s="14">
        <f t="shared" si="12"/>
        <v>-999636.10059039993</v>
      </c>
      <c r="T66" s="14"/>
      <c r="U66" s="13"/>
      <c r="V66" s="14">
        <f t="shared" si="13"/>
        <v>-999636.10059039993</v>
      </c>
    </row>
    <row r="67" spans="1:22" s="28" customFormat="1" ht="13" x14ac:dyDescent="0.35">
      <c r="A67" s="104" t="s">
        <v>139</v>
      </c>
      <c r="B67" s="95"/>
      <c r="C67" s="103"/>
      <c r="D67" s="51"/>
      <c r="E67" s="51"/>
      <c r="F67" s="51"/>
      <c r="G67" s="50"/>
      <c r="H67" s="50"/>
      <c r="I67" s="50"/>
      <c r="J67" s="50"/>
      <c r="K67" s="52">
        <f>+SUBTOTAL(9, K55:K66)</f>
        <v>-49029405.301751204</v>
      </c>
      <c r="L67" s="52">
        <f t="shared" ref="L67:M67" si="67">+SUBTOTAL(9, L55:L66)</f>
        <v>-32563000</v>
      </c>
      <c r="M67" s="52">
        <f t="shared" si="67"/>
        <v>-81592405.301751196</v>
      </c>
      <c r="N67" s="52">
        <f t="shared" ref="N67" si="68">+SUBTOTAL(9, N55:N66)</f>
        <v>-2500000</v>
      </c>
      <c r="O67" s="52">
        <f t="shared" ref="O67" si="69">+SUBTOTAL(9, O55:O66)</f>
        <v>1000000</v>
      </c>
      <c r="P67" s="52">
        <f t="shared" ref="P67" si="70">+SUBTOTAL(9, P55:P66)</f>
        <v>-21817648.999990001</v>
      </c>
      <c r="Q67" s="52">
        <f t="shared" ref="Q67" si="71">+SUBTOTAL(9, Q55:Q66)</f>
        <v>8719924</v>
      </c>
      <c r="R67" s="52">
        <f t="shared" ref="R67" si="72">+SUBTOTAL(9, R55:R66)</f>
        <v>100000</v>
      </c>
      <c r="S67" s="52">
        <f t="shared" ref="S67:V67" si="73">+SUBTOTAL(9, S55:S66)</f>
        <v>-96090130.301741198</v>
      </c>
      <c r="T67" s="52">
        <f t="shared" si="73"/>
        <v>-20000</v>
      </c>
      <c r="U67" s="52">
        <f t="shared" si="73"/>
        <v>24000000</v>
      </c>
      <c r="V67" s="52">
        <f t="shared" si="73"/>
        <v>-72110130.301741198</v>
      </c>
    </row>
    <row r="68" spans="1:22" s="28" customFormat="1" ht="26" x14ac:dyDescent="0.35">
      <c r="A68" s="31" t="s">
        <v>140</v>
      </c>
      <c r="B68" s="105"/>
      <c r="C68" s="13" t="s">
        <v>50</v>
      </c>
      <c r="D68" s="12" t="s">
        <v>51</v>
      </c>
      <c r="E68" s="12"/>
      <c r="F68" s="12"/>
      <c r="G68" s="13" t="s">
        <v>44</v>
      </c>
      <c r="H68" s="13" t="s">
        <v>54</v>
      </c>
      <c r="I68" s="13" t="s">
        <v>55</v>
      </c>
      <c r="J68" s="13" t="s">
        <v>141</v>
      </c>
      <c r="K68" s="14">
        <v>0</v>
      </c>
      <c r="L68" s="14">
        <v>-25000</v>
      </c>
      <c r="M68" s="14">
        <f t="shared" si="11"/>
        <v>-25000</v>
      </c>
      <c r="N68" s="14"/>
      <c r="O68" s="47"/>
      <c r="P68" s="47"/>
      <c r="Q68" s="47"/>
      <c r="R68" s="47"/>
      <c r="S68" s="14">
        <f t="shared" si="12"/>
        <v>-25000</v>
      </c>
      <c r="T68" s="14"/>
      <c r="U68" s="37"/>
      <c r="V68" s="14">
        <f t="shared" si="13"/>
        <v>-25000</v>
      </c>
    </row>
    <row r="69" spans="1:22" s="28" customFormat="1" ht="26" x14ac:dyDescent="0.35">
      <c r="A69" s="55"/>
      <c r="B69" s="105"/>
      <c r="C69" s="13" t="s">
        <v>50</v>
      </c>
      <c r="D69" s="12" t="s">
        <v>51</v>
      </c>
      <c r="E69" s="12"/>
      <c r="F69" s="12"/>
      <c r="G69" s="13" t="s">
        <v>44</v>
      </c>
      <c r="H69" s="13"/>
      <c r="I69" s="13"/>
      <c r="J69" s="12" t="s">
        <v>142</v>
      </c>
      <c r="K69" s="14">
        <v>0</v>
      </c>
      <c r="L69" s="14">
        <v>-136099</v>
      </c>
      <c r="M69" s="14">
        <f t="shared" si="11"/>
        <v>-136099</v>
      </c>
      <c r="N69" s="14"/>
      <c r="O69" s="47"/>
      <c r="P69" s="47"/>
      <c r="Q69" s="47"/>
      <c r="R69" s="47"/>
      <c r="S69" s="14">
        <f t="shared" si="12"/>
        <v>-136099</v>
      </c>
      <c r="T69" s="14"/>
      <c r="U69" s="37"/>
      <c r="V69" s="14">
        <f t="shared" si="13"/>
        <v>-136099</v>
      </c>
    </row>
    <row r="70" spans="1:22" s="36" customFormat="1" ht="28.5" customHeight="1" x14ac:dyDescent="0.35">
      <c r="A70" s="31"/>
      <c r="B70" s="43" t="s">
        <v>143</v>
      </c>
      <c r="C70" s="31" t="s">
        <v>73</v>
      </c>
      <c r="D70" s="29" t="s">
        <v>74</v>
      </c>
      <c r="E70" s="29"/>
      <c r="F70" s="29"/>
      <c r="G70" s="31" t="s">
        <v>44</v>
      </c>
      <c r="H70" s="31" t="s">
        <v>31</v>
      </c>
      <c r="I70" s="31" t="s">
        <v>31</v>
      </c>
      <c r="J70" s="29" t="s">
        <v>144</v>
      </c>
      <c r="K70" s="30">
        <v>-258000</v>
      </c>
      <c r="L70" s="30">
        <f>-261565-387000</f>
        <v>-648565</v>
      </c>
      <c r="M70" s="14">
        <f t="shared" si="11"/>
        <v>-906565</v>
      </c>
      <c r="N70" s="14"/>
      <c r="O70" s="30"/>
      <c r="P70" s="30"/>
      <c r="Q70" s="30"/>
      <c r="R70" s="30"/>
      <c r="S70" s="14">
        <f t="shared" si="12"/>
        <v>-906565</v>
      </c>
      <c r="T70" s="14"/>
      <c r="U70" s="31"/>
      <c r="V70" s="14">
        <f t="shared" si="13"/>
        <v>-906565</v>
      </c>
    </row>
    <row r="71" spans="1:22" s="27" customFormat="1" ht="26" x14ac:dyDescent="0.35">
      <c r="A71" s="12"/>
      <c r="B71" s="44" t="s">
        <v>145</v>
      </c>
      <c r="C71" s="13" t="s">
        <v>40</v>
      </c>
      <c r="D71" s="12" t="s">
        <v>41</v>
      </c>
      <c r="E71" s="12"/>
      <c r="F71" s="12"/>
      <c r="G71" s="13" t="s">
        <v>44</v>
      </c>
      <c r="H71" s="13"/>
      <c r="I71" s="13"/>
      <c r="J71" s="29" t="s">
        <v>144</v>
      </c>
      <c r="K71" s="14">
        <v>-387000</v>
      </c>
      <c r="L71" s="14">
        <v>387000</v>
      </c>
      <c r="M71" s="14">
        <f t="shared" si="11"/>
        <v>0</v>
      </c>
      <c r="N71" s="14"/>
      <c r="O71" s="14"/>
      <c r="P71" s="14"/>
      <c r="Q71" s="14"/>
      <c r="R71" s="14"/>
      <c r="S71" s="14">
        <f t="shared" si="12"/>
        <v>0</v>
      </c>
      <c r="T71" s="14"/>
      <c r="U71" s="13"/>
      <c r="V71" s="14">
        <f t="shared" si="13"/>
        <v>0</v>
      </c>
    </row>
    <row r="72" spans="1:22" s="27" customFormat="1" ht="26" x14ac:dyDescent="0.35">
      <c r="A72" s="12"/>
      <c r="B72" s="44"/>
      <c r="C72" s="13" t="s">
        <v>73</v>
      </c>
      <c r="D72" s="12" t="s">
        <v>74</v>
      </c>
      <c r="E72" s="12"/>
      <c r="F72" s="12"/>
      <c r="G72" s="13" t="s">
        <v>44</v>
      </c>
      <c r="H72" s="13"/>
      <c r="I72" s="13"/>
      <c r="J72" s="12" t="s">
        <v>146</v>
      </c>
      <c r="K72" s="13">
        <v>0</v>
      </c>
      <c r="L72" s="14">
        <v>-3000000</v>
      </c>
      <c r="M72" s="14">
        <f t="shared" si="11"/>
        <v>-3000000</v>
      </c>
      <c r="N72" s="14"/>
      <c r="O72" s="14"/>
      <c r="P72" s="14"/>
      <c r="Q72" s="14"/>
      <c r="R72" s="14"/>
      <c r="S72" s="14">
        <f t="shared" si="12"/>
        <v>-3000000</v>
      </c>
      <c r="T72" s="14"/>
      <c r="U72" s="13"/>
      <c r="V72" s="14">
        <f t="shared" si="13"/>
        <v>-3000000</v>
      </c>
    </row>
    <row r="73" spans="1:22" s="27" customFormat="1" ht="26" x14ac:dyDescent="0.35">
      <c r="A73" s="12"/>
      <c r="B73" s="44"/>
      <c r="C73" s="13" t="s">
        <v>73</v>
      </c>
      <c r="D73" s="12" t="s">
        <v>74</v>
      </c>
      <c r="E73" s="12"/>
      <c r="F73" s="12"/>
      <c r="G73" s="13" t="s">
        <v>44</v>
      </c>
      <c r="H73" s="13"/>
      <c r="I73" s="13"/>
      <c r="J73" s="12" t="s">
        <v>147</v>
      </c>
      <c r="K73" s="13">
        <v>0</v>
      </c>
      <c r="L73" s="14">
        <v>-133250</v>
      </c>
      <c r="M73" s="14">
        <f t="shared" si="11"/>
        <v>-133250</v>
      </c>
      <c r="N73" s="14"/>
      <c r="O73" s="14"/>
      <c r="P73" s="14"/>
      <c r="Q73" s="14"/>
      <c r="R73" s="14"/>
      <c r="S73" s="14">
        <f t="shared" si="12"/>
        <v>-133250</v>
      </c>
      <c r="T73" s="14"/>
      <c r="U73" s="13"/>
      <c r="V73" s="14">
        <f t="shared" si="13"/>
        <v>-133250</v>
      </c>
    </row>
    <row r="74" spans="1:22" s="27" customFormat="1" ht="26" x14ac:dyDescent="0.35">
      <c r="A74" s="70"/>
      <c r="B74" s="43" t="s">
        <v>148</v>
      </c>
      <c r="C74" s="13" t="s">
        <v>40</v>
      </c>
      <c r="D74" s="12" t="s">
        <v>41</v>
      </c>
      <c r="E74" s="12"/>
      <c r="F74" s="12"/>
      <c r="G74" s="13" t="s">
        <v>44</v>
      </c>
      <c r="H74" s="13"/>
      <c r="I74" s="13"/>
      <c r="J74" s="12" t="s">
        <v>46</v>
      </c>
      <c r="K74" s="30">
        <v>-179000</v>
      </c>
      <c r="L74" s="30"/>
      <c r="M74" s="14">
        <f t="shared" si="11"/>
        <v>-179000</v>
      </c>
      <c r="N74" s="14"/>
      <c r="O74" s="14"/>
      <c r="P74" s="14"/>
      <c r="Q74" s="14"/>
      <c r="R74" s="14"/>
      <c r="S74" s="14">
        <f t="shared" si="12"/>
        <v>-179000</v>
      </c>
      <c r="T74" s="14"/>
      <c r="U74" s="13"/>
      <c r="V74" s="14">
        <f t="shared" si="13"/>
        <v>-179000</v>
      </c>
    </row>
    <row r="75" spans="1:22" s="28" customFormat="1" ht="13" x14ac:dyDescent="0.35">
      <c r="A75" s="10" t="s">
        <v>149</v>
      </c>
      <c r="B75" s="106"/>
      <c r="C75" s="50"/>
      <c r="D75" s="51"/>
      <c r="E75" s="51"/>
      <c r="F75" s="51"/>
      <c r="G75" s="50"/>
      <c r="H75" s="50"/>
      <c r="I75" s="50"/>
      <c r="J75" s="50"/>
      <c r="K75" s="52">
        <f>+SUBTOTAL(9, K68:K74)</f>
        <v>-824000</v>
      </c>
      <c r="L75" s="52">
        <f t="shared" ref="L75:M75" si="74">+SUBTOTAL(9, L68:L74)</f>
        <v>-3555914</v>
      </c>
      <c r="M75" s="52">
        <f t="shared" si="74"/>
        <v>-4379914</v>
      </c>
      <c r="N75" s="52">
        <f t="shared" ref="N75" si="75">+SUBTOTAL(9, N68:N74)</f>
        <v>0</v>
      </c>
      <c r="O75" s="52">
        <f t="shared" ref="O75" si="76">+SUBTOTAL(9, O68:O74)</f>
        <v>0</v>
      </c>
      <c r="P75" s="52">
        <f t="shared" ref="P75" si="77">+SUBTOTAL(9, P68:P74)</f>
        <v>0</v>
      </c>
      <c r="Q75" s="52">
        <f t="shared" ref="Q75" si="78">+SUBTOTAL(9, Q68:Q74)</f>
        <v>0</v>
      </c>
      <c r="R75" s="52">
        <f t="shared" ref="R75" si="79">+SUBTOTAL(9, R68:R74)</f>
        <v>0</v>
      </c>
      <c r="S75" s="52">
        <f t="shared" ref="S75:V75" si="80">+SUBTOTAL(9, S68:S74)</f>
        <v>-4379914</v>
      </c>
      <c r="T75" s="52">
        <f t="shared" si="80"/>
        <v>0</v>
      </c>
      <c r="U75" s="52">
        <f t="shared" si="80"/>
        <v>0</v>
      </c>
      <c r="V75" s="52">
        <f t="shared" si="80"/>
        <v>-4379914</v>
      </c>
    </row>
    <row r="76" spans="1:22" s="28" customFormat="1" ht="26" x14ac:dyDescent="0.35">
      <c r="A76" s="29" t="s">
        <v>150</v>
      </c>
      <c r="B76" s="43" t="s">
        <v>151</v>
      </c>
      <c r="C76" s="13" t="s">
        <v>40</v>
      </c>
      <c r="D76" s="12" t="s">
        <v>41</v>
      </c>
      <c r="E76" s="12"/>
      <c r="F76" s="12"/>
      <c r="G76" s="13" t="s">
        <v>44</v>
      </c>
      <c r="H76" s="13"/>
      <c r="I76" s="13"/>
      <c r="J76" s="12" t="s">
        <v>46</v>
      </c>
      <c r="K76" s="14">
        <v>-390000</v>
      </c>
      <c r="L76" s="14"/>
      <c r="M76" s="14">
        <f t="shared" si="11"/>
        <v>-390000</v>
      </c>
      <c r="N76" s="14"/>
      <c r="O76" s="47"/>
      <c r="P76" s="14">
        <v>-119375</v>
      </c>
      <c r="Q76" s="47"/>
      <c r="R76" s="47"/>
      <c r="S76" s="14">
        <f t="shared" si="12"/>
        <v>-509375</v>
      </c>
      <c r="T76" s="14"/>
      <c r="U76" s="37"/>
      <c r="V76" s="14">
        <f t="shared" si="13"/>
        <v>-509375</v>
      </c>
    </row>
    <row r="77" spans="1:22" s="28" customFormat="1" ht="26.5" customHeight="1" x14ac:dyDescent="0.35">
      <c r="A77" s="140" t="s">
        <v>152</v>
      </c>
      <c r="B77" s="141"/>
      <c r="C77" s="25"/>
      <c r="D77" s="25"/>
      <c r="E77" s="25"/>
      <c r="F77" s="25"/>
      <c r="G77" s="50"/>
      <c r="H77" s="50"/>
      <c r="I77" s="50"/>
      <c r="J77" s="50"/>
      <c r="K77" s="52">
        <f>+SUBTOTAL(9,K76)</f>
        <v>-390000</v>
      </c>
      <c r="L77" s="52">
        <f t="shared" ref="L77:M77" si="81">+SUBTOTAL(9,L76)</f>
        <v>0</v>
      </c>
      <c r="M77" s="52">
        <f t="shared" si="81"/>
        <v>-390000</v>
      </c>
      <c r="N77" s="52">
        <f t="shared" ref="N77" si="82">+SUBTOTAL(9,N76)</f>
        <v>0</v>
      </c>
      <c r="O77" s="52">
        <f t="shared" ref="O77" si="83">+SUBTOTAL(9,O76)</f>
        <v>0</v>
      </c>
      <c r="P77" s="52">
        <f t="shared" ref="P77" si="84">+SUBTOTAL(9,P76)</f>
        <v>-119375</v>
      </c>
      <c r="Q77" s="52">
        <f t="shared" ref="Q77" si="85">+SUBTOTAL(9,Q76)</f>
        <v>0</v>
      </c>
      <c r="R77" s="52">
        <f t="shared" ref="R77" si="86">+SUBTOTAL(9,R76)</f>
        <v>0</v>
      </c>
      <c r="S77" s="52">
        <f t="shared" ref="S77:V77" si="87">+SUBTOTAL(9,S76)</f>
        <v>-509375</v>
      </c>
      <c r="T77" s="52">
        <f t="shared" si="87"/>
        <v>0</v>
      </c>
      <c r="U77" s="52">
        <f t="shared" si="87"/>
        <v>0</v>
      </c>
      <c r="V77" s="52">
        <f t="shared" si="87"/>
        <v>-509375</v>
      </c>
    </row>
    <row r="78" spans="1:22" s="27" customFormat="1" ht="26" x14ac:dyDescent="0.35">
      <c r="A78" s="13" t="s">
        <v>153</v>
      </c>
      <c r="B78" s="44" t="s">
        <v>154</v>
      </c>
      <c r="C78" s="13" t="s">
        <v>124</v>
      </c>
      <c r="D78" s="12" t="s">
        <v>125</v>
      </c>
      <c r="E78" s="12"/>
      <c r="F78" s="12"/>
      <c r="G78" s="13" t="s">
        <v>44</v>
      </c>
      <c r="H78" s="13"/>
      <c r="I78" s="13"/>
      <c r="J78" s="12" t="s">
        <v>155</v>
      </c>
      <c r="K78" s="30">
        <v>-360000</v>
      </c>
      <c r="L78" s="30"/>
      <c r="M78" s="14">
        <f t="shared" si="11"/>
        <v>-360000</v>
      </c>
      <c r="N78" s="14"/>
      <c r="O78" s="14"/>
      <c r="P78" s="14"/>
      <c r="Q78" s="14"/>
      <c r="R78" s="14"/>
      <c r="S78" s="14">
        <f t="shared" si="12"/>
        <v>-360000</v>
      </c>
      <c r="T78" s="14"/>
      <c r="U78" s="13"/>
      <c r="V78" s="14">
        <f t="shared" si="13"/>
        <v>-360000</v>
      </c>
    </row>
    <row r="79" spans="1:22" s="28" customFormat="1" ht="13" x14ac:dyDescent="0.35">
      <c r="A79" s="50" t="s">
        <v>156</v>
      </c>
      <c r="B79" s="107"/>
      <c r="C79" s="50"/>
      <c r="D79" s="51"/>
      <c r="E79" s="51"/>
      <c r="F79" s="51"/>
      <c r="G79" s="50"/>
      <c r="H79" s="50"/>
      <c r="I79" s="50"/>
      <c r="J79" s="50"/>
      <c r="K79" s="108">
        <f>+SUBTOTAL(9, K78)</f>
        <v>-360000</v>
      </c>
      <c r="L79" s="108">
        <f t="shared" ref="L79:M79" si="88">+SUBTOTAL(9, L78)</f>
        <v>0</v>
      </c>
      <c r="M79" s="108">
        <f t="shared" si="88"/>
        <v>-360000</v>
      </c>
      <c r="N79" s="108">
        <f t="shared" ref="N79" si="89">+SUBTOTAL(9, N78)</f>
        <v>0</v>
      </c>
      <c r="O79" s="108">
        <f t="shared" ref="O79" si="90">+SUBTOTAL(9, O78)</f>
        <v>0</v>
      </c>
      <c r="P79" s="108">
        <f t="shared" ref="P79" si="91">+SUBTOTAL(9, P78)</f>
        <v>0</v>
      </c>
      <c r="Q79" s="108">
        <f t="shared" ref="Q79" si="92">+SUBTOTAL(9, Q78)</f>
        <v>0</v>
      </c>
      <c r="R79" s="108">
        <f t="shared" ref="R79" si="93">+SUBTOTAL(9, R78)</f>
        <v>0</v>
      </c>
      <c r="S79" s="108">
        <f t="shared" ref="S79:V79" si="94">+SUBTOTAL(9, S78)</f>
        <v>-360000</v>
      </c>
      <c r="T79" s="108">
        <f t="shared" si="94"/>
        <v>0</v>
      </c>
      <c r="U79" s="108">
        <f t="shared" si="94"/>
        <v>0</v>
      </c>
      <c r="V79" s="108">
        <f t="shared" si="94"/>
        <v>-360000</v>
      </c>
    </row>
    <row r="80" spans="1:22" s="24" customFormat="1" ht="25.9" customHeight="1" x14ac:dyDescent="0.35">
      <c r="A80" s="31" t="s">
        <v>157</v>
      </c>
      <c r="B80" s="71" t="s">
        <v>158</v>
      </c>
      <c r="C80" s="13" t="s">
        <v>73</v>
      </c>
      <c r="D80" s="12" t="s">
        <v>74</v>
      </c>
      <c r="E80" s="12"/>
      <c r="F80" s="12"/>
      <c r="G80" s="13" t="s">
        <v>44</v>
      </c>
      <c r="H80" s="17"/>
      <c r="I80" s="17"/>
      <c r="J80" s="12" t="s">
        <v>159</v>
      </c>
      <c r="K80" s="14">
        <v>-185000</v>
      </c>
      <c r="L80" s="14"/>
      <c r="M80" s="14">
        <f t="shared" si="11"/>
        <v>-185000</v>
      </c>
      <c r="N80" s="14"/>
      <c r="O80" s="84"/>
      <c r="P80" s="84"/>
      <c r="Q80" s="84"/>
      <c r="R80" s="84"/>
      <c r="S80" s="14">
        <f t="shared" si="12"/>
        <v>-185000</v>
      </c>
      <c r="T80" s="14"/>
      <c r="U80" s="14">
        <v>185000</v>
      </c>
      <c r="V80" s="14">
        <f t="shared" si="13"/>
        <v>0</v>
      </c>
    </row>
    <row r="81" spans="1:22" s="24" customFormat="1" x14ac:dyDescent="0.35">
      <c r="A81" s="64" t="s">
        <v>160</v>
      </c>
      <c r="B81" s="42"/>
      <c r="C81" s="109"/>
      <c r="D81" s="109"/>
      <c r="E81" s="109"/>
      <c r="F81" s="109"/>
      <c r="G81" s="109"/>
      <c r="H81" s="109"/>
      <c r="I81" s="109"/>
      <c r="J81" s="109"/>
      <c r="K81" s="110">
        <f>+SUBTOTAL(9, K80:K80)</f>
        <v>-185000</v>
      </c>
      <c r="L81" s="110">
        <f t="shared" ref="L81:M81" si="95">+SUBTOTAL(9, L80:L80)</f>
        <v>0</v>
      </c>
      <c r="M81" s="110">
        <f t="shared" si="95"/>
        <v>-185000</v>
      </c>
      <c r="N81" s="110">
        <f t="shared" ref="N81" si="96">+SUBTOTAL(9, N80:N80)</f>
        <v>0</v>
      </c>
      <c r="O81" s="110">
        <f t="shared" ref="O81" si="97">+SUBTOTAL(9, O80:O80)</f>
        <v>0</v>
      </c>
      <c r="P81" s="110">
        <f t="shared" ref="P81" si="98">+SUBTOTAL(9, P80:P80)</f>
        <v>0</v>
      </c>
      <c r="Q81" s="110">
        <f t="shared" ref="Q81" si="99">+SUBTOTAL(9, Q80:Q80)</f>
        <v>0</v>
      </c>
      <c r="R81" s="110">
        <f t="shared" ref="R81" si="100">+SUBTOTAL(9, R80:R80)</f>
        <v>0</v>
      </c>
      <c r="S81" s="110">
        <f t="shared" ref="S81:V81" si="101">+SUBTOTAL(9, S80:S80)</f>
        <v>-185000</v>
      </c>
      <c r="T81" s="110">
        <f t="shared" si="101"/>
        <v>0</v>
      </c>
      <c r="U81" s="110">
        <f t="shared" si="101"/>
        <v>185000</v>
      </c>
      <c r="V81" s="110">
        <f t="shared" si="101"/>
        <v>0</v>
      </c>
    </row>
    <row r="82" spans="1:22" s="24" customFormat="1" ht="26" x14ac:dyDescent="0.35">
      <c r="A82" s="12" t="s">
        <v>161</v>
      </c>
      <c r="B82" s="111"/>
      <c r="C82" s="13" t="s">
        <v>124</v>
      </c>
      <c r="D82" s="12" t="s">
        <v>125</v>
      </c>
      <c r="E82" s="13"/>
      <c r="F82" s="13"/>
      <c r="G82" s="13" t="s">
        <v>44</v>
      </c>
      <c r="H82" s="13" t="s">
        <v>162</v>
      </c>
      <c r="I82" s="13" t="s">
        <v>163</v>
      </c>
      <c r="J82" s="12" t="s">
        <v>46</v>
      </c>
      <c r="K82" s="112"/>
      <c r="L82" s="112"/>
      <c r="M82" s="14">
        <f t="shared" si="11"/>
        <v>0</v>
      </c>
      <c r="N82" s="14">
        <v>-30000</v>
      </c>
      <c r="O82" s="17"/>
      <c r="P82" s="14">
        <v>30000</v>
      </c>
      <c r="Q82" s="112"/>
      <c r="R82" s="112"/>
      <c r="S82" s="112">
        <f>+M82+N82+P82+Q82+R82+O82</f>
        <v>0</v>
      </c>
      <c r="T82" s="112"/>
      <c r="U82" s="17"/>
      <c r="V82" s="14">
        <f t="shared" si="13"/>
        <v>0</v>
      </c>
    </row>
    <row r="83" spans="1:22" s="24" customFormat="1" ht="26" x14ac:dyDescent="0.35">
      <c r="A83" s="13" t="s">
        <v>164</v>
      </c>
      <c r="B83" s="111"/>
      <c r="C83" s="13" t="s">
        <v>124</v>
      </c>
      <c r="D83" s="12" t="s">
        <v>125</v>
      </c>
      <c r="E83" s="13"/>
      <c r="F83" s="13"/>
      <c r="G83" s="13" t="s">
        <v>44</v>
      </c>
      <c r="H83" s="13" t="s">
        <v>162</v>
      </c>
      <c r="I83" s="13" t="s">
        <v>163</v>
      </c>
      <c r="J83" s="12" t="s">
        <v>46</v>
      </c>
      <c r="K83" s="112"/>
      <c r="L83" s="112"/>
      <c r="M83" s="14">
        <f t="shared" si="11"/>
        <v>0</v>
      </c>
      <c r="N83" s="14">
        <v>-5000</v>
      </c>
      <c r="O83" s="17"/>
      <c r="P83" s="14">
        <v>5000</v>
      </c>
      <c r="Q83" s="112"/>
      <c r="R83" s="112"/>
      <c r="S83" s="112">
        <f t="shared" ref="S83:S84" si="102">+M83+N83+P83+Q83+R83+O83</f>
        <v>0</v>
      </c>
      <c r="T83" s="112"/>
      <c r="U83" s="17"/>
      <c r="V83" s="14">
        <f t="shared" ref="V83:V89" si="103">+S83+T83+U83</f>
        <v>0</v>
      </c>
    </row>
    <row r="84" spans="1:22" s="24" customFormat="1" x14ac:dyDescent="0.35">
      <c r="A84" s="12" t="s">
        <v>165</v>
      </c>
      <c r="B84" s="111"/>
      <c r="C84" s="13" t="s">
        <v>40</v>
      </c>
      <c r="D84" s="13" t="s">
        <v>41</v>
      </c>
      <c r="E84" s="12"/>
      <c r="F84" s="12"/>
      <c r="G84" s="13" t="s">
        <v>44</v>
      </c>
      <c r="H84" s="13" t="s">
        <v>162</v>
      </c>
      <c r="I84" s="13" t="s">
        <v>163</v>
      </c>
      <c r="J84" s="12" t="s">
        <v>46</v>
      </c>
      <c r="K84" s="112"/>
      <c r="L84" s="112"/>
      <c r="M84" s="14">
        <f t="shared" si="11"/>
        <v>0</v>
      </c>
      <c r="N84" s="14">
        <v>-3000</v>
      </c>
      <c r="O84" s="17"/>
      <c r="P84" s="14">
        <v>3000</v>
      </c>
      <c r="Q84" s="112"/>
      <c r="R84" s="112"/>
      <c r="S84" s="112">
        <f t="shared" si="102"/>
        <v>0</v>
      </c>
      <c r="T84" s="112"/>
      <c r="U84" s="17"/>
      <c r="V84" s="14">
        <f t="shared" si="103"/>
        <v>0</v>
      </c>
    </row>
    <row r="85" spans="1:22" s="116" customFormat="1" x14ac:dyDescent="0.35">
      <c r="A85" s="85" t="s">
        <v>166</v>
      </c>
      <c r="B85" s="113"/>
      <c r="C85" s="114"/>
      <c r="D85" s="114"/>
      <c r="E85" s="114"/>
      <c r="F85" s="114"/>
      <c r="G85" s="114"/>
      <c r="H85" s="114"/>
      <c r="I85" s="114"/>
      <c r="J85" s="114"/>
      <c r="K85" s="115"/>
      <c r="L85" s="115"/>
      <c r="M85" s="86">
        <f>+SUBTOTAL(9,M82:M84)</f>
        <v>0</v>
      </c>
      <c r="N85" s="86">
        <f t="shared" ref="N85" si="104">+SUBTOTAL(9,N82:N84)</f>
        <v>-38000</v>
      </c>
      <c r="O85" s="86">
        <f t="shared" ref="O85" si="105">+SUBTOTAL(9,O82:O84)</f>
        <v>0</v>
      </c>
      <c r="P85" s="86">
        <f t="shared" ref="P85" si="106">+SUBTOTAL(9,P82:P84)</f>
        <v>38000</v>
      </c>
      <c r="Q85" s="86">
        <f t="shared" ref="Q85" si="107">+SUBTOTAL(9,Q82:Q84)</f>
        <v>0</v>
      </c>
      <c r="R85" s="86">
        <f t="shared" ref="R85" si="108">+SUBTOTAL(9,R82:R84)</f>
        <v>0</v>
      </c>
      <c r="S85" s="86">
        <f t="shared" ref="S85:V85" si="109">+SUBTOTAL(9,S82:S84)</f>
        <v>0</v>
      </c>
      <c r="T85" s="86">
        <f t="shared" si="109"/>
        <v>0</v>
      </c>
      <c r="U85" s="86">
        <f t="shared" si="109"/>
        <v>0</v>
      </c>
      <c r="V85" s="86">
        <f t="shared" si="109"/>
        <v>0</v>
      </c>
    </row>
    <row r="86" spans="1:22" s="27" customFormat="1" ht="26" x14ac:dyDescent="0.35">
      <c r="A86" s="13" t="s">
        <v>167</v>
      </c>
      <c r="B86" s="12"/>
      <c r="C86" s="13" t="s">
        <v>168</v>
      </c>
      <c r="D86" s="12" t="s">
        <v>169</v>
      </c>
      <c r="E86" s="12"/>
      <c r="F86" s="12"/>
      <c r="G86" s="13" t="s">
        <v>44</v>
      </c>
      <c r="H86" s="13"/>
      <c r="I86" s="13"/>
      <c r="J86" s="12" t="s">
        <v>170</v>
      </c>
      <c r="K86" s="14">
        <v>-18000</v>
      </c>
      <c r="L86" s="14"/>
      <c r="M86" s="14">
        <f t="shared" si="11"/>
        <v>-18000</v>
      </c>
      <c r="N86" s="72"/>
      <c r="O86" s="14"/>
      <c r="P86" s="14"/>
      <c r="Q86" s="14"/>
      <c r="R86" s="14"/>
      <c r="S86" s="14">
        <f t="shared" si="12"/>
        <v>-18000</v>
      </c>
      <c r="T86" s="14"/>
      <c r="U86" s="13"/>
      <c r="V86" s="14">
        <f t="shared" si="103"/>
        <v>-18000</v>
      </c>
    </row>
    <row r="87" spans="1:22" s="27" customFormat="1" ht="13" x14ac:dyDescent="0.35">
      <c r="A87" s="50" t="s">
        <v>171</v>
      </c>
      <c r="B87" s="51"/>
      <c r="C87" s="50"/>
      <c r="D87" s="51"/>
      <c r="E87" s="51"/>
      <c r="F87" s="51"/>
      <c r="G87" s="50"/>
      <c r="H87" s="50"/>
      <c r="I87" s="50"/>
      <c r="J87" s="50"/>
      <c r="K87" s="52">
        <f>+SUBTOTAL(9,K86)</f>
        <v>-18000</v>
      </c>
      <c r="L87" s="52">
        <f t="shared" ref="L87:M87" si="110">+SUBTOTAL(9,L86)</f>
        <v>0</v>
      </c>
      <c r="M87" s="52">
        <f t="shared" si="110"/>
        <v>-18000</v>
      </c>
      <c r="N87" s="52">
        <f t="shared" ref="N87" si="111">+SUBTOTAL(9,N86)</f>
        <v>0</v>
      </c>
      <c r="O87" s="52">
        <f t="shared" ref="O87" si="112">+SUBTOTAL(9,O86)</f>
        <v>0</v>
      </c>
      <c r="P87" s="52">
        <f t="shared" ref="P87" si="113">+SUBTOTAL(9,P86)</f>
        <v>0</v>
      </c>
      <c r="Q87" s="52">
        <f t="shared" ref="Q87" si="114">+SUBTOTAL(9,Q86)</f>
        <v>0</v>
      </c>
      <c r="R87" s="52">
        <f t="shared" ref="R87" si="115">+SUBTOTAL(9,R86)</f>
        <v>0</v>
      </c>
      <c r="S87" s="52">
        <f t="shared" ref="S87:V87" si="116">+SUBTOTAL(9,S86)</f>
        <v>-18000</v>
      </c>
      <c r="T87" s="52">
        <f t="shared" si="116"/>
        <v>0</v>
      </c>
      <c r="U87" s="52">
        <f t="shared" si="116"/>
        <v>0</v>
      </c>
      <c r="V87" s="52">
        <f t="shared" si="116"/>
        <v>-18000</v>
      </c>
    </row>
    <row r="88" spans="1:22" s="24" customFormat="1" ht="26" x14ac:dyDescent="0.35">
      <c r="A88" s="131" t="s">
        <v>172</v>
      </c>
      <c r="B88" s="44" t="s">
        <v>173</v>
      </c>
      <c r="C88" s="13" t="s">
        <v>174</v>
      </c>
      <c r="D88" s="12" t="s">
        <v>175</v>
      </c>
      <c r="E88" s="12"/>
      <c r="F88" s="12"/>
      <c r="G88" s="13" t="s">
        <v>44</v>
      </c>
      <c r="H88" s="13" t="s">
        <v>176</v>
      </c>
      <c r="I88" s="12" t="s">
        <v>177</v>
      </c>
      <c r="J88" s="12" t="s">
        <v>46</v>
      </c>
      <c r="K88" s="14">
        <v>-300000</v>
      </c>
      <c r="L88" s="17"/>
      <c r="M88" s="14">
        <f t="shared" si="11"/>
        <v>-300000</v>
      </c>
      <c r="N88" s="72"/>
      <c r="O88" s="84"/>
      <c r="P88" s="84"/>
      <c r="Q88" s="84"/>
      <c r="R88" s="84"/>
      <c r="S88" s="14">
        <f t="shared" si="12"/>
        <v>-300000</v>
      </c>
      <c r="T88" s="14"/>
      <c r="U88" s="17"/>
      <c r="V88" s="14">
        <f t="shared" si="103"/>
        <v>-300000</v>
      </c>
    </row>
    <row r="89" spans="1:22" s="24" customFormat="1" ht="26" x14ac:dyDescent="0.35">
      <c r="A89" s="13" t="s">
        <v>178</v>
      </c>
      <c r="B89" s="44" t="s">
        <v>179</v>
      </c>
      <c r="C89" s="13" t="s">
        <v>180</v>
      </c>
      <c r="D89" s="12" t="s">
        <v>181</v>
      </c>
      <c r="E89" s="12"/>
      <c r="F89" s="12"/>
      <c r="G89" s="13" t="s">
        <v>44</v>
      </c>
      <c r="H89" s="13" t="s">
        <v>176</v>
      </c>
      <c r="I89" s="12" t="s">
        <v>177</v>
      </c>
      <c r="J89" s="12" t="s">
        <v>46</v>
      </c>
      <c r="K89" s="14">
        <v>-200000</v>
      </c>
      <c r="L89" s="17"/>
      <c r="M89" s="14">
        <f t="shared" si="11"/>
        <v>-200000</v>
      </c>
      <c r="N89" s="72"/>
      <c r="O89" s="84"/>
      <c r="P89" s="84"/>
      <c r="Q89" s="84"/>
      <c r="R89" s="84"/>
      <c r="S89" s="14">
        <f t="shared" si="12"/>
        <v>-200000</v>
      </c>
      <c r="T89" s="14"/>
      <c r="U89" s="17"/>
      <c r="V89" s="14">
        <f t="shared" si="103"/>
        <v>-200000</v>
      </c>
    </row>
    <row r="90" spans="1:22" s="24" customFormat="1" x14ac:dyDescent="0.35">
      <c r="A90" s="64" t="s">
        <v>182</v>
      </c>
      <c r="B90" s="42"/>
      <c r="C90" s="109"/>
      <c r="D90" s="109"/>
      <c r="E90" s="109"/>
      <c r="F90" s="109"/>
      <c r="G90" s="109"/>
      <c r="H90" s="109"/>
      <c r="I90" s="109"/>
      <c r="J90" s="109"/>
      <c r="K90" s="52">
        <f>+SUBTOTAL(9,K88:K89)</f>
        <v>-500000</v>
      </c>
      <c r="L90" s="52">
        <f t="shared" ref="L90:M90" si="117">+SUBTOTAL(9,L88:L89)</f>
        <v>0</v>
      </c>
      <c r="M90" s="52">
        <f t="shared" si="117"/>
        <v>-500000</v>
      </c>
      <c r="N90" s="52">
        <f t="shared" ref="N90" si="118">+SUBTOTAL(9,N88:N89)</f>
        <v>0</v>
      </c>
      <c r="O90" s="52">
        <f t="shared" ref="O90" si="119">+SUBTOTAL(9,O88:O89)</f>
        <v>0</v>
      </c>
      <c r="P90" s="52">
        <f t="shared" ref="P90" si="120">+SUBTOTAL(9,P88:P89)</f>
        <v>0</v>
      </c>
      <c r="Q90" s="52">
        <f t="shared" ref="Q90" si="121">+SUBTOTAL(9,Q88:Q89)</f>
        <v>0</v>
      </c>
      <c r="R90" s="52">
        <f t="shared" ref="R90" si="122">+SUBTOTAL(9,R88:R89)</f>
        <v>0</v>
      </c>
      <c r="S90" s="52">
        <f t="shared" ref="S90:V90" si="123">+SUBTOTAL(9,S88:S89)</f>
        <v>-500000</v>
      </c>
      <c r="T90" s="52">
        <f t="shared" si="123"/>
        <v>0</v>
      </c>
      <c r="U90" s="52">
        <f t="shared" si="123"/>
        <v>0</v>
      </c>
      <c r="V90" s="52">
        <f t="shared" si="123"/>
        <v>-500000</v>
      </c>
    </row>
    <row r="91" spans="1:22" s="24" customFormat="1" x14ac:dyDescent="0.35">
      <c r="B91" s="117"/>
      <c r="D91" s="118"/>
      <c r="E91" s="118"/>
      <c r="F91" s="118"/>
      <c r="M91" s="119"/>
      <c r="N91" s="119"/>
    </row>
  </sheetData>
  <autoFilter ref="A16:M90" xr:uid="{F306C644-7FEA-4119-BB74-5BC0BECC31FA}"/>
  <mergeCells count="5">
    <mergeCell ref="J2:V3"/>
    <mergeCell ref="I10:J10"/>
    <mergeCell ref="A24:C24"/>
    <mergeCell ref="A77:B77"/>
    <mergeCell ref="A5:G6"/>
  </mergeCells>
  <phoneticPr fontId="20" type="noConversion"/>
  <hyperlinks>
    <hyperlink ref="A25" r:id="rId1" display="https://et.wikipedia.org/wiki/Rahvusvaheline_Kaitseuuringute_Keskus" xr:uid="{454C1B7B-5768-4A34-B86A-F9BE72D5FD7A}"/>
    <hyperlink ref="A27" r:id="rId2" display="https://et.wikipedia.org/wiki/Rahvusvaheline_Kaitseuuringute_Keskus" xr:uid="{40D4A820-E129-4B8F-8E93-1B43B96FCF2D}"/>
  </hyperlinks>
  <pageMargins left="0.31496062992125984" right="0.31496062992125984" top="0.27559055118110237" bottom="0.51181102362204722" header="0.31496062992125984" footer="0.31496062992125984"/>
  <pageSetup paperSize="9" scale="79" fitToHeight="0" orientation="landscape" r:id="rId3"/>
  <headerFooter>
    <oddFooter>Lk &amp;P &amp;N-st</oddFooter>
  </headerFooter>
  <customProperties>
    <customPr name="EpmWorksheetKeyString_GUID" r:id="rId4"/>
  </customProperties>
  <legacy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417755ECBB5488FF4B606C352B7C3" ma:contentTypeVersion="11" ma:contentTypeDescription="Create a new document." ma:contentTypeScope="" ma:versionID="975d1fc740f3dec1ef983c80ce9978b5">
  <xsd:schema xmlns:xsd="http://www.w3.org/2001/XMLSchema" xmlns:xs="http://www.w3.org/2001/XMLSchema" xmlns:p="http://schemas.microsoft.com/office/2006/metadata/properties" xmlns:ns2="e6f0d7a7-7317-4211-b722-0acf268d17fd" xmlns:ns3="9b483750-598d-46a0-877d-052f8f804d23" targetNamespace="http://schemas.microsoft.com/office/2006/metadata/properties" ma:root="true" ma:fieldsID="075d3f06a62957004ececc2406515c35" ns2:_="" ns3:_="">
    <xsd:import namespace="e6f0d7a7-7317-4211-b722-0acf268d17fd"/>
    <xsd:import namespace="9b483750-598d-46a0-877d-052f8f804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f0d7a7-7317-4211-b722-0acf268d17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83750-598d-46a0-877d-052f8f804d2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3f02065d-4fa9-4554-ae9c-ae72b0922f8b}" ma:internalName="TaxCatchAll" ma:showField="CatchAllData" ma:web="9b483750-598d-46a0-877d-052f8f804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b483750-598d-46a0-877d-052f8f804d23" xsi:nil="true"/>
    <lcf76f155ced4ddcb4097134ff3c332f xmlns="e6f0d7a7-7317-4211-b722-0acf268d17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C2850-1D7F-4E9C-A306-64F734DCF5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f0d7a7-7317-4211-b722-0acf268d17fd"/>
    <ds:schemaRef ds:uri="9b483750-598d-46a0-877d-052f8f804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43732D-B288-43BA-9D18-D97B062690AB}">
  <ds:schemaRefs>
    <ds:schemaRef ds:uri="9b483750-598d-46a0-877d-052f8f804d23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e6f0d7a7-7317-4211-b722-0acf268d17f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5E36848-9FB3-492B-967C-0C535CB697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Lisa 7 MKM_toetused</vt:lpstr>
      <vt:lpstr>'Lisa 7 MKM_toetused'!Prindiala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Krista Fazijev</dc:creator>
  <cp:keywords/>
  <dc:description/>
  <cp:lastModifiedBy>Helena Siemann - MKM</cp:lastModifiedBy>
  <cp:revision/>
  <dcterms:created xsi:type="dcterms:W3CDTF">2022-12-30T15:09:08Z</dcterms:created>
  <dcterms:modified xsi:type="dcterms:W3CDTF">2024-12-05T12:31:49Z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0x01010093E417755ECBB5488FF4B606C352B7C3</vt:lpwstr>
  </property>
  <property fmtid="{D5CDD505-2E9C-101B-9397-08002B2CF9AE}" pid="3" name="Order">
    <vt:r8>687200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2024-06-20T17:03:28Z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8df56165-8e34-48c5-93f4-a672f43d9cfb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